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bbrica Archi\CM\ENTREGA FINAL\"/>
    </mc:Choice>
  </mc:AlternateContent>
  <xr:revisionPtr revIDLastSave="0" documentId="13_ncr:1_{9E26020C-E52B-4DC3-9025-C504C9494360}" xr6:coauthVersionLast="47" xr6:coauthVersionMax="47" xr10:uidLastSave="{00000000-0000-0000-0000-000000000000}"/>
  <bookViews>
    <workbookView xWindow="-120" yWindow="-120" windowWidth="29040" windowHeight="15840" firstSheet="1" activeTab="5" xr2:uid="{823D9BBE-C781-414B-AAEC-B13F61543499}"/>
  </bookViews>
  <sheets>
    <sheet name="QUANTITATIVO PAREDES" sheetId="6" r:id="rId1"/>
    <sheet name="QUANTITATIVO C.E.R" sheetId="9" r:id="rId2"/>
    <sheet name="QUANTITATIVO PISO" sheetId="12" r:id="rId3"/>
    <sheet name="QUANTITATIVO TETO" sheetId="8" r:id="rId4"/>
    <sheet name="QUANTITATIVO ESQUADRIAS " sheetId="3" r:id="rId5"/>
    <sheet name="QUANTITATIVO COBERTURA" sheetId="10" r:id="rId6"/>
  </sheets>
  <definedNames>
    <definedName name="_xlnm._FilterDatabase" localSheetId="4" hidden="1">'QUANTITATIVO ESQUADRIAS '!$C$2:$C$127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3" l="1"/>
  <c r="D25" i="10"/>
  <c r="D28" i="10"/>
  <c r="D27" i="10"/>
  <c r="B71" i="12"/>
  <c r="D31" i="10"/>
  <c r="D33" i="10" s="1"/>
  <c r="G42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4" i="3"/>
  <c r="E42" i="3" s="1"/>
  <c r="G24" i="3"/>
  <c r="G25" i="3"/>
  <c r="G26" i="3"/>
  <c r="G27" i="3"/>
  <c r="G28" i="3"/>
  <c r="G29" i="3"/>
  <c r="G30" i="3"/>
  <c r="G31" i="3"/>
  <c r="G32" i="3"/>
  <c r="G34" i="3"/>
  <c r="G35" i="3"/>
  <c r="G36" i="3"/>
  <c r="G37" i="3"/>
  <c r="G38" i="3"/>
  <c r="G39" i="3"/>
  <c r="G40" i="3"/>
  <c r="G41" i="3"/>
  <c r="G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23" i="3"/>
  <c r="D32" i="3"/>
  <c r="I17" i="3"/>
  <c r="L17" i="3" s="1"/>
  <c r="D17" i="3"/>
  <c r="D24" i="3"/>
  <c r="F24" i="3" s="1"/>
  <c r="D25" i="3"/>
  <c r="F25" i="3" s="1"/>
  <c r="D26" i="3"/>
  <c r="F26" i="3" s="1"/>
  <c r="D27" i="3"/>
  <c r="F27" i="3" s="1"/>
  <c r="D28" i="3"/>
  <c r="F28" i="3" s="1"/>
  <c r="D29" i="3"/>
  <c r="F29" i="3" s="1"/>
  <c r="D30" i="3"/>
  <c r="F30" i="3" s="1"/>
  <c r="D31" i="3"/>
  <c r="F31" i="3" s="1"/>
  <c r="D33" i="3"/>
  <c r="D34" i="3"/>
  <c r="F34" i="3" s="1"/>
  <c r="D35" i="3"/>
  <c r="F35" i="3" s="1"/>
  <c r="D23" i="3"/>
  <c r="F23" i="3" s="1"/>
  <c r="D5" i="3"/>
  <c r="D6" i="3"/>
  <c r="D7" i="3"/>
  <c r="D8" i="3"/>
  <c r="D9" i="3"/>
  <c r="D10" i="3"/>
  <c r="D11" i="3"/>
  <c r="D12" i="3"/>
  <c r="D13" i="3"/>
  <c r="D14" i="3"/>
  <c r="D15" i="3"/>
  <c r="D16" i="3"/>
  <c r="D18" i="3"/>
  <c r="T28" i="3"/>
  <c r="F42" i="3" l="1"/>
  <c r="D42" i="3"/>
  <c r="E19" i="12"/>
  <c r="E20" i="12" s="1"/>
  <c r="E10" i="12"/>
  <c r="F13" i="12"/>
  <c r="E13" i="12"/>
  <c r="D13" i="12"/>
  <c r="F6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 s="1"/>
  <c r="E48" i="12"/>
  <c r="F47" i="12"/>
  <c r="E47" i="12"/>
  <c r="F40" i="12"/>
  <c r="F39" i="12"/>
  <c r="F33" i="12"/>
  <c r="E32" i="12"/>
  <c r="F31" i="12"/>
  <c r="F30" i="12"/>
  <c r="F26" i="12"/>
  <c r="F27" i="12"/>
  <c r="F28" i="12"/>
  <c r="F29" i="12"/>
  <c r="F25" i="12"/>
  <c r="E42" i="12"/>
  <c r="E43" i="12"/>
  <c r="E44" i="12"/>
  <c r="E45" i="12"/>
  <c r="E46" i="12"/>
  <c r="E41" i="12"/>
  <c r="E38" i="12"/>
  <c r="E35" i="12"/>
  <c r="E36" i="12"/>
  <c r="E37" i="12"/>
  <c r="E34" i="12"/>
  <c r="E22" i="12"/>
  <c r="E23" i="12"/>
  <c r="E24" i="12"/>
  <c r="E21" i="12"/>
  <c r="E18" i="12"/>
  <c r="E16" i="12"/>
  <c r="E14" i="12"/>
  <c r="E12" i="12"/>
  <c r="E11" i="12"/>
  <c r="E9" i="12"/>
  <c r="E8" i="12"/>
  <c r="E6" i="12"/>
  <c r="E5" i="12"/>
  <c r="D66" i="12"/>
  <c r="D47" i="12"/>
  <c r="D20" i="12"/>
  <c r="D17" i="12"/>
  <c r="D18" i="12" s="1"/>
  <c r="D15" i="12"/>
  <c r="D16" i="12" s="1"/>
  <c r="D7" i="12"/>
  <c r="E7" i="12" s="1"/>
  <c r="D3" i="12"/>
  <c r="D4" i="12" s="1"/>
  <c r="T27" i="3"/>
  <c r="T40" i="3"/>
  <c r="T39" i="3"/>
  <c r="T33" i="3"/>
  <c r="T32" i="3"/>
  <c r="T31" i="3"/>
  <c r="T30" i="3"/>
  <c r="T29" i="3"/>
  <c r="T14" i="3"/>
  <c r="T13" i="3"/>
  <c r="T12" i="3"/>
  <c r="T5" i="3"/>
  <c r="T6" i="3"/>
  <c r="R4" i="3"/>
  <c r="T4" i="3" s="1"/>
  <c r="M23" i="3"/>
  <c r="M24" i="3"/>
  <c r="M25" i="3"/>
  <c r="M28" i="3"/>
  <c r="M29" i="3"/>
  <c r="I19" i="3"/>
  <c r="L19" i="3" s="1"/>
  <c r="I41" i="3"/>
  <c r="L41" i="3" s="1"/>
  <c r="I40" i="3"/>
  <c r="L40" i="3" s="1"/>
  <c r="O40" i="3" s="1"/>
  <c r="I39" i="3"/>
  <c r="L39" i="3" s="1"/>
  <c r="O39" i="3" s="1"/>
  <c r="I38" i="3"/>
  <c r="L38" i="3" s="1"/>
  <c r="O38" i="3" s="1"/>
  <c r="I37" i="3"/>
  <c r="L37" i="3" s="1"/>
  <c r="O37" i="3" s="1"/>
  <c r="I36" i="3"/>
  <c r="L36" i="3" s="1"/>
  <c r="I35" i="3"/>
  <c r="L35" i="3" s="1"/>
  <c r="I34" i="3"/>
  <c r="L34" i="3" s="1"/>
  <c r="I33" i="3"/>
  <c r="L33" i="3" s="1"/>
  <c r="I32" i="3"/>
  <c r="L32" i="3" s="1"/>
  <c r="I31" i="3"/>
  <c r="L31" i="3" s="1"/>
  <c r="I30" i="3"/>
  <c r="L30" i="3" s="1"/>
  <c r="I29" i="3"/>
  <c r="L29" i="3" s="1"/>
  <c r="C22" i="3"/>
  <c r="I21" i="3"/>
  <c r="L21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C20" i="3"/>
  <c r="I15" i="3"/>
  <c r="L15" i="3" s="1"/>
  <c r="N15" i="3" s="1"/>
  <c r="I16" i="3"/>
  <c r="L16" i="3" s="1"/>
  <c r="I18" i="3"/>
  <c r="L18" i="3" s="1"/>
  <c r="I14" i="3"/>
  <c r="L14" i="3" s="1"/>
  <c r="N14" i="3" s="1"/>
  <c r="I13" i="3"/>
  <c r="L13" i="3" s="1"/>
  <c r="N13" i="3" s="1"/>
  <c r="I12" i="3"/>
  <c r="L12" i="3" s="1"/>
  <c r="N12" i="3" s="1"/>
  <c r="I10" i="3"/>
  <c r="L10" i="3" s="1"/>
  <c r="N10" i="3" s="1"/>
  <c r="I11" i="3"/>
  <c r="L11" i="3" s="1"/>
  <c r="N11" i="3" s="1"/>
  <c r="I5" i="3"/>
  <c r="L5" i="3" s="1"/>
  <c r="N5" i="3" s="1"/>
  <c r="I6" i="3"/>
  <c r="L6" i="3" s="1"/>
  <c r="N6" i="3" s="1"/>
  <c r="I7" i="3"/>
  <c r="L7" i="3" s="1"/>
  <c r="N7" i="3" s="1"/>
  <c r="I8" i="3"/>
  <c r="L8" i="3" s="1"/>
  <c r="N8" i="3" s="1"/>
  <c r="I9" i="3"/>
  <c r="L9" i="3" s="1"/>
  <c r="N9" i="3" s="1"/>
  <c r="I4" i="3"/>
  <c r="L4" i="3" s="1"/>
  <c r="N4" i="3" s="1"/>
  <c r="D9" i="6"/>
  <c r="D8" i="6"/>
  <c r="D7" i="6"/>
  <c r="D6" i="6"/>
  <c r="G56" i="9"/>
  <c r="H56" i="9" s="1"/>
  <c r="P56" i="9" s="1"/>
  <c r="G48" i="9"/>
  <c r="H48" i="9" s="1"/>
  <c r="P48" i="9" s="1"/>
  <c r="G46" i="9"/>
  <c r="G44" i="9"/>
  <c r="G43" i="9"/>
  <c r="G42" i="9"/>
  <c r="G24" i="9"/>
  <c r="H24" i="9" s="1"/>
  <c r="P24" i="9" s="1"/>
  <c r="G23" i="9"/>
  <c r="H23" i="9" s="1"/>
  <c r="P23" i="9" s="1"/>
  <c r="G22" i="9"/>
  <c r="G21" i="9"/>
  <c r="G12" i="9"/>
  <c r="G11" i="9"/>
  <c r="G8" i="9"/>
  <c r="G3" i="9"/>
  <c r="G5" i="9"/>
  <c r="G7" i="9"/>
  <c r="D26" i="10"/>
  <c r="D24" i="10"/>
  <c r="D21" i="10"/>
  <c r="D15" i="10"/>
  <c r="D14" i="10"/>
  <c r="D10" i="10"/>
  <c r="D9" i="10"/>
  <c r="D5" i="10"/>
  <c r="D4" i="10"/>
  <c r="D3" i="10"/>
  <c r="Q77" i="9"/>
  <c r="R77" i="9"/>
  <c r="R74" i="9"/>
  <c r="R68" i="9"/>
  <c r="R69" i="9"/>
  <c r="R70" i="9"/>
  <c r="R71" i="9"/>
  <c r="R72" i="9"/>
  <c r="R67" i="9"/>
  <c r="R61" i="9"/>
  <c r="Q73" i="9"/>
  <c r="Q66" i="9"/>
  <c r="Q64" i="9"/>
  <c r="Q65" i="9"/>
  <c r="Q63" i="9"/>
  <c r="Q62" i="9"/>
  <c r="Q60" i="9"/>
  <c r="P4" i="9"/>
  <c r="P6" i="9"/>
  <c r="P7" i="9"/>
  <c r="P9" i="9"/>
  <c r="P13" i="9"/>
  <c r="P14" i="9"/>
  <c r="P15" i="9"/>
  <c r="P16" i="9"/>
  <c r="P17" i="9"/>
  <c r="P18" i="9"/>
  <c r="P19" i="9"/>
  <c r="P20" i="9"/>
  <c r="P22" i="9"/>
  <c r="P25" i="9"/>
  <c r="P26" i="9"/>
  <c r="P27" i="9"/>
  <c r="P28" i="9"/>
  <c r="P29" i="9"/>
  <c r="P30" i="9"/>
  <c r="P31" i="9"/>
  <c r="P32" i="9"/>
  <c r="P34" i="9"/>
  <c r="P35" i="9"/>
  <c r="P36" i="9"/>
  <c r="P37" i="9"/>
  <c r="P38" i="9"/>
  <c r="P39" i="9"/>
  <c r="P40" i="9"/>
  <c r="P41" i="9"/>
  <c r="P45" i="9"/>
  <c r="P47" i="9"/>
  <c r="P49" i="9"/>
  <c r="P50" i="9"/>
  <c r="P51" i="9"/>
  <c r="P52" i="9"/>
  <c r="P54" i="9"/>
  <c r="P55" i="9"/>
  <c r="P57" i="9"/>
  <c r="P58" i="9"/>
  <c r="J49" i="9"/>
  <c r="O41" i="9"/>
  <c r="N41" i="9"/>
  <c r="O20" i="9"/>
  <c r="M51" i="9"/>
  <c r="L51" i="9"/>
  <c r="M50" i="9"/>
  <c r="L50" i="9"/>
  <c r="L49" i="9"/>
  <c r="M46" i="9"/>
  <c r="L46" i="9"/>
  <c r="M40" i="9"/>
  <c r="L40" i="9"/>
  <c r="M18" i="9"/>
  <c r="L18" i="9"/>
  <c r="M6" i="9"/>
  <c r="L6" i="9"/>
  <c r="M5" i="9"/>
  <c r="N14" i="9"/>
  <c r="N27" i="9"/>
  <c r="N38" i="9"/>
  <c r="C77" i="9"/>
  <c r="H75" i="9"/>
  <c r="G74" i="9"/>
  <c r="F74" i="9"/>
  <c r="H74" i="9" s="1"/>
  <c r="F73" i="9"/>
  <c r="H73" i="9" s="1"/>
  <c r="D73" i="9"/>
  <c r="H72" i="9"/>
  <c r="G72" i="9"/>
  <c r="F72" i="9"/>
  <c r="D72" i="9"/>
  <c r="H71" i="9"/>
  <c r="G71" i="9"/>
  <c r="F71" i="9"/>
  <c r="G70" i="9"/>
  <c r="F70" i="9"/>
  <c r="H70" i="9" s="1"/>
  <c r="G69" i="9"/>
  <c r="F69" i="9"/>
  <c r="H69" i="9" s="1"/>
  <c r="D69" i="9"/>
  <c r="G68" i="9"/>
  <c r="F68" i="9"/>
  <c r="H68" i="9" s="1"/>
  <c r="G67" i="9"/>
  <c r="H67" i="9" s="1"/>
  <c r="F67" i="9"/>
  <c r="H66" i="9"/>
  <c r="F65" i="9"/>
  <c r="H65" i="9" s="1"/>
  <c r="H64" i="9"/>
  <c r="H63" i="9"/>
  <c r="F62" i="9"/>
  <c r="H62" i="9" s="1"/>
  <c r="F61" i="9"/>
  <c r="H61" i="9" s="1"/>
  <c r="F60" i="9"/>
  <c r="H60" i="9" s="1"/>
  <c r="H58" i="9"/>
  <c r="G58" i="9"/>
  <c r="F58" i="9"/>
  <c r="H57" i="9"/>
  <c r="G57" i="9"/>
  <c r="F57" i="9"/>
  <c r="F56" i="9"/>
  <c r="H55" i="9"/>
  <c r="G55" i="9"/>
  <c r="F55" i="9"/>
  <c r="H54" i="9"/>
  <c r="G54" i="9"/>
  <c r="F54" i="9"/>
  <c r="H52" i="9"/>
  <c r="G52" i="9"/>
  <c r="F52" i="9"/>
  <c r="I51" i="9"/>
  <c r="H51" i="9"/>
  <c r="G51" i="9"/>
  <c r="F51" i="9"/>
  <c r="G50" i="9"/>
  <c r="F50" i="9"/>
  <c r="H50" i="9" s="1"/>
  <c r="H49" i="9"/>
  <c r="G49" i="9"/>
  <c r="F49" i="9"/>
  <c r="F48" i="9"/>
  <c r="H47" i="9"/>
  <c r="G47" i="9"/>
  <c r="F47" i="9"/>
  <c r="F46" i="9"/>
  <c r="H46" i="9" s="1"/>
  <c r="P46" i="9" s="1"/>
  <c r="G45" i="9"/>
  <c r="F45" i="9"/>
  <c r="H45" i="9" s="1"/>
  <c r="F44" i="9"/>
  <c r="H44" i="9" s="1"/>
  <c r="P44" i="9" s="1"/>
  <c r="F43" i="9"/>
  <c r="H43" i="9" s="1"/>
  <c r="P43" i="9" s="1"/>
  <c r="F42" i="9"/>
  <c r="I41" i="9"/>
  <c r="H41" i="9"/>
  <c r="G41" i="9"/>
  <c r="F41" i="9"/>
  <c r="I40" i="9"/>
  <c r="G40" i="9"/>
  <c r="F40" i="9"/>
  <c r="H40" i="9" s="1"/>
  <c r="G39" i="9"/>
  <c r="F39" i="9"/>
  <c r="H39" i="9" s="1"/>
  <c r="H38" i="9"/>
  <c r="G38" i="9"/>
  <c r="F38" i="9"/>
  <c r="G37" i="9"/>
  <c r="F37" i="9"/>
  <c r="H37" i="9" s="1"/>
  <c r="I36" i="9"/>
  <c r="G36" i="9"/>
  <c r="F36" i="9"/>
  <c r="H36" i="9" s="1"/>
  <c r="I35" i="9"/>
  <c r="G35" i="9"/>
  <c r="F35" i="9"/>
  <c r="H35" i="9" s="1"/>
  <c r="G34" i="9"/>
  <c r="F34" i="9"/>
  <c r="H34" i="9" s="1"/>
  <c r="G32" i="9"/>
  <c r="F32" i="9"/>
  <c r="H32" i="9" s="1"/>
  <c r="I31" i="9"/>
  <c r="G31" i="9"/>
  <c r="F31" i="9"/>
  <c r="H31" i="9" s="1"/>
  <c r="I30" i="9"/>
  <c r="G30" i="9"/>
  <c r="F30" i="9"/>
  <c r="H30" i="9" s="1"/>
  <c r="G29" i="9"/>
  <c r="F29" i="9"/>
  <c r="H29" i="9" s="1"/>
  <c r="G28" i="9"/>
  <c r="F28" i="9"/>
  <c r="H28" i="9" s="1"/>
  <c r="H27" i="9"/>
  <c r="G27" i="9"/>
  <c r="F27" i="9"/>
  <c r="G26" i="9"/>
  <c r="H26" i="9" s="1"/>
  <c r="F26" i="9"/>
  <c r="G25" i="9"/>
  <c r="H25" i="9" s="1"/>
  <c r="F25" i="9"/>
  <c r="F24" i="9"/>
  <c r="F23" i="9"/>
  <c r="H22" i="9"/>
  <c r="F22" i="9"/>
  <c r="H21" i="9"/>
  <c r="P21" i="9" s="1"/>
  <c r="F21" i="9"/>
  <c r="G20" i="9"/>
  <c r="F20" i="9"/>
  <c r="H20" i="9" s="1"/>
  <c r="G19" i="9"/>
  <c r="F19" i="9"/>
  <c r="H19" i="9" s="1"/>
  <c r="G18" i="9"/>
  <c r="F18" i="9"/>
  <c r="G17" i="9"/>
  <c r="F17" i="9"/>
  <c r="G16" i="9"/>
  <c r="F16" i="9"/>
  <c r="G15" i="9"/>
  <c r="F15" i="9"/>
  <c r="H15" i="9" s="1"/>
  <c r="I15" i="9" s="1"/>
  <c r="G14" i="9"/>
  <c r="H14" i="9" s="1"/>
  <c r="F14" i="9"/>
  <c r="G13" i="9"/>
  <c r="F13" i="9"/>
  <c r="H13" i="9" s="1"/>
  <c r="F12" i="9"/>
  <c r="H12" i="9" s="1"/>
  <c r="P12" i="9" s="1"/>
  <c r="F11" i="9"/>
  <c r="F9" i="9"/>
  <c r="H9" i="9" s="1"/>
  <c r="F8" i="9"/>
  <c r="F7" i="9"/>
  <c r="H7" i="9" s="1"/>
  <c r="G6" i="9"/>
  <c r="F6" i="9"/>
  <c r="H6" i="9" s="1"/>
  <c r="H5" i="9"/>
  <c r="P5" i="9" s="1"/>
  <c r="F5" i="9"/>
  <c r="I4" i="9"/>
  <c r="H4" i="9"/>
  <c r="G4" i="9"/>
  <c r="F4" i="9"/>
  <c r="H3" i="9"/>
  <c r="I3" i="9" s="1"/>
  <c r="F3" i="9"/>
  <c r="C63" i="8"/>
  <c r="F4" i="8"/>
  <c r="F5" i="8"/>
  <c r="J5" i="8" s="1"/>
  <c r="F6" i="8"/>
  <c r="J6" i="8" s="1"/>
  <c r="F7" i="8"/>
  <c r="F8" i="8"/>
  <c r="J8" i="8" s="1"/>
  <c r="F10" i="8"/>
  <c r="J10" i="8" s="1"/>
  <c r="F11" i="8"/>
  <c r="J11" i="8" s="1"/>
  <c r="F12" i="8"/>
  <c r="J12" i="8" s="1"/>
  <c r="F13" i="8"/>
  <c r="J13" i="8" s="1"/>
  <c r="F14" i="8"/>
  <c r="J14" i="8" s="1"/>
  <c r="F15" i="8"/>
  <c r="J15" i="8" s="1"/>
  <c r="F16" i="8"/>
  <c r="J16" i="8" s="1"/>
  <c r="F17" i="8"/>
  <c r="J17" i="8" s="1"/>
  <c r="F18" i="8"/>
  <c r="I18" i="8" s="1"/>
  <c r="F19" i="8"/>
  <c r="I19" i="8" s="1"/>
  <c r="F20" i="8"/>
  <c r="J20" i="8" s="1"/>
  <c r="F21" i="8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28" i="8"/>
  <c r="J28" i="8" s="1"/>
  <c r="F29" i="8"/>
  <c r="J29" i="8" s="1"/>
  <c r="F30" i="8"/>
  <c r="J30" i="8" s="1"/>
  <c r="F31" i="8"/>
  <c r="J31" i="8" s="1"/>
  <c r="F33" i="8"/>
  <c r="J33" i="8" s="1"/>
  <c r="F34" i="8"/>
  <c r="J34" i="8" s="1"/>
  <c r="F35" i="8"/>
  <c r="J35" i="8" s="1"/>
  <c r="F36" i="8"/>
  <c r="J36" i="8" s="1"/>
  <c r="F37" i="8"/>
  <c r="J37" i="8" s="1"/>
  <c r="F38" i="8"/>
  <c r="J38" i="8" s="1"/>
  <c r="F39" i="8"/>
  <c r="J39" i="8" s="1"/>
  <c r="F40" i="8"/>
  <c r="J40" i="8" s="1"/>
  <c r="F41" i="8"/>
  <c r="I41" i="8" s="1"/>
  <c r="F42" i="8"/>
  <c r="I42" i="8" s="1"/>
  <c r="F43" i="8"/>
  <c r="I43" i="8" s="1"/>
  <c r="F46" i="8"/>
  <c r="J46" i="8" s="1"/>
  <c r="F47" i="8"/>
  <c r="J47" i="8" s="1"/>
  <c r="F48" i="8"/>
  <c r="J48" i="8" s="1"/>
  <c r="F49" i="8"/>
  <c r="J49" i="8" s="1"/>
  <c r="F50" i="8"/>
  <c r="J50" i="8" s="1"/>
  <c r="F51" i="8"/>
  <c r="J51" i="8" s="1"/>
  <c r="F52" i="8"/>
  <c r="J52" i="8" s="1"/>
  <c r="F53" i="8"/>
  <c r="J53" i="8" s="1"/>
  <c r="F55" i="8"/>
  <c r="J55" i="8" s="1"/>
  <c r="F56" i="8"/>
  <c r="J56" i="8" s="1"/>
  <c r="F57" i="8"/>
  <c r="J57" i="8" s="1"/>
  <c r="F58" i="8"/>
  <c r="J58" i="8" s="1"/>
  <c r="F59" i="8"/>
  <c r="J59" i="8" s="1"/>
  <c r="F61" i="8"/>
  <c r="J61" i="8" s="1"/>
  <c r="F62" i="8"/>
  <c r="F3" i="8"/>
  <c r="J3" i="8" s="1"/>
  <c r="H3" i="8"/>
  <c r="G4" i="8"/>
  <c r="H4" i="8" s="1"/>
  <c r="G5" i="8"/>
  <c r="H5" i="8" s="1"/>
  <c r="G6" i="8"/>
  <c r="H6" i="8" s="1"/>
  <c r="G7" i="8"/>
  <c r="H7" i="8" s="1"/>
  <c r="G8" i="8"/>
  <c r="H8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H18" i="8"/>
  <c r="G20" i="8"/>
  <c r="H20" i="8" s="1"/>
  <c r="G21" i="8"/>
  <c r="H21" i="8" s="1"/>
  <c r="G22" i="8"/>
  <c r="H22" i="8" s="1"/>
  <c r="G23" i="8"/>
  <c r="H23" i="8" s="1"/>
  <c r="G24" i="8"/>
  <c r="H24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H43" i="8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55" i="8"/>
  <c r="H55" i="8" s="1"/>
  <c r="G56" i="8"/>
  <c r="H56" i="8" s="1"/>
  <c r="G57" i="8"/>
  <c r="H57" i="8" s="1"/>
  <c r="G58" i="8"/>
  <c r="H58" i="8" s="1"/>
  <c r="G59" i="8"/>
  <c r="H59" i="8" s="1"/>
  <c r="G61" i="8"/>
  <c r="H61" i="8" s="1"/>
  <c r="G62" i="8"/>
  <c r="H62" i="8" s="1"/>
  <c r="C29" i="6"/>
  <c r="C26" i="6"/>
  <c r="C27" i="6" s="1"/>
  <c r="C23" i="6"/>
  <c r="E23" i="6" s="1"/>
  <c r="C22" i="6"/>
  <c r="C19" i="6"/>
  <c r="C20" i="6" s="1"/>
  <c r="C16" i="6"/>
  <c r="E16" i="6" s="1"/>
  <c r="C15" i="6"/>
  <c r="C14" i="6"/>
  <c r="E14" i="6" s="1"/>
  <c r="D11" i="6"/>
  <c r="C11" i="6"/>
  <c r="C9" i="6"/>
  <c r="C10" i="6"/>
  <c r="E10" i="6" s="1"/>
  <c r="C8" i="6"/>
  <c r="C7" i="6"/>
  <c r="C6" i="6"/>
  <c r="D30" i="6"/>
  <c r="C30" i="6"/>
  <c r="E29" i="6"/>
  <c r="D27" i="6"/>
  <c r="D24" i="6"/>
  <c r="D20" i="6"/>
  <c r="D17" i="6"/>
  <c r="D6" i="10" l="1"/>
  <c r="M42" i="3"/>
  <c r="I20" i="3"/>
  <c r="L20" i="3" s="1"/>
  <c r="I22" i="3"/>
  <c r="L22" i="3" s="1"/>
  <c r="O42" i="3"/>
  <c r="N42" i="3"/>
  <c r="E68" i="12"/>
  <c r="T34" i="3"/>
  <c r="T41" i="3"/>
  <c r="T7" i="3"/>
  <c r="T15" i="3"/>
  <c r="H11" i="9"/>
  <c r="P11" i="9" s="1"/>
  <c r="H8" i="9"/>
  <c r="P8" i="9" s="1"/>
  <c r="P3" i="9"/>
  <c r="I5" i="9"/>
  <c r="D16" i="10"/>
  <c r="D11" i="10"/>
  <c r="I6" i="9"/>
  <c r="I11" i="9"/>
  <c r="I13" i="9"/>
  <c r="I25" i="9"/>
  <c r="I8" i="9"/>
  <c r="I21" i="9"/>
  <c r="I12" i="9"/>
  <c r="I26" i="9"/>
  <c r="I7" i="9"/>
  <c r="I9" i="9"/>
  <c r="I14" i="9"/>
  <c r="I22" i="9"/>
  <c r="H17" i="9"/>
  <c r="H18" i="9"/>
  <c r="I20" i="9"/>
  <c r="I23" i="9"/>
  <c r="I27" i="9"/>
  <c r="I29" i="9"/>
  <c r="I34" i="9"/>
  <c r="I39" i="9"/>
  <c r="I45" i="9"/>
  <c r="I24" i="9"/>
  <c r="I38" i="9"/>
  <c r="I44" i="9"/>
  <c r="I50" i="9"/>
  <c r="I43" i="9"/>
  <c r="I47" i="9"/>
  <c r="I48" i="9"/>
  <c r="F77" i="9"/>
  <c r="H16" i="9"/>
  <c r="I19" i="9"/>
  <c r="I28" i="9"/>
  <c r="I32" i="9"/>
  <c r="I37" i="9"/>
  <c r="H42" i="9"/>
  <c r="P42" i="9" s="1"/>
  <c r="I46" i="9"/>
  <c r="I49" i="9"/>
  <c r="I52" i="9"/>
  <c r="I54" i="9"/>
  <c r="I55" i="9"/>
  <c r="I56" i="9"/>
  <c r="I57" i="9"/>
  <c r="I58" i="9"/>
  <c r="J19" i="8"/>
  <c r="I3" i="8"/>
  <c r="I63" i="8" s="1"/>
  <c r="F63" i="8"/>
  <c r="J18" i="8"/>
  <c r="J4" i="8"/>
  <c r="G63" i="8"/>
  <c r="H63" i="8"/>
  <c r="C24" i="6"/>
  <c r="E26" i="6"/>
  <c r="E27" i="6" s="1"/>
  <c r="E19" i="6"/>
  <c r="E20" i="6" s="1"/>
  <c r="E22" i="6"/>
  <c r="E24" i="6" s="1"/>
  <c r="E7" i="6"/>
  <c r="C17" i="6"/>
  <c r="D12" i="6"/>
  <c r="C12" i="6"/>
  <c r="E15" i="6"/>
  <c r="E17" i="6" s="1"/>
  <c r="E9" i="6"/>
  <c r="E11" i="6"/>
  <c r="E8" i="6"/>
  <c r="E6" i="6"/>
  <c r="E30" i="6"/>
  <c r="P77" i="9" l="1"/>
  <c r="I42" i="9"/>
  <c r="H77" i="9"/>
  <c r="M77" i="9"/>
  <c r="I18" i="9"/>
  <c r="K77" i="9"/>
  <c r="I16" i="9"/>
  <c r="I17" i="9"/>
  <c r="J63" i="8"/>
  <c r="E12" i="6"/>
  <c r="I77" i="9" l="1"/>
  <c r="O77" i="9"/>
  <c r="L77" i="9"/>
  <c r="J77" i="9"/>
  <c r="N7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Win_10</author>
  </authors>
  <commentList>
    <comment ref="G3" authorId="0" shapeId="0" xr:uid="{3FE54B9A-3483-4878-8E47-5DA29951B09C}">
      <text>
        <r>
          <rPr>
            <b/>
            <sz val="9"/>
            <color indexed="81"/>
            <rFont val="Segoe UI"/>
            <family val="2"/>
          </rPr>
          <t>P04 /1UN.
J11 /1UN.</t>
        </r>
      </text>
    </comment>
    <comment ref="G4" authorId="0" shapeId="0" xr:uid="{7B3B6572-D188-419A-BC07-B4FE1FEF4044}">
      <text>
        <r>
          <rPr>
            <b/>
            <sz val="9"/>
            <color indexed="81"/>
            <rFont val="Segoe UI"/>
            <family val="2"/>
          </rPr>
          <t>P04 / 1UN.
P08 / 1UN.</t>
        </r>
      </text>
    </comment>
    <comment ref="G5" authorId="0" shapeId="0" xr:uid="{96ACAF0D-240A-48B5-8E8C-26126E5DF0B2}">
      <text>
        <r>
          <rPr>
            <b/>
            <sz val="9"/>
            <color indexed="81"/>
            <rFont val="Segoe UI"/>
            <family val="2"/>
          </rPr>
          <t>P09 / 1UN.
P04 / 1UN.
P10 / 1UN.
J09 / 1UN.</t>
        </r>
      </text>
    </comment>
    <comment ref="G6" authorId="0" shapeId="0" xr:uid="{35DA0DEC-A57A-4A07-806D-9A6359C8ED9B}">
      <text>
        <r>
          <rPr>
            <b/>
            <sz val="9"/>
            <color indexed="81"/>
            <rFont val="Segoe UI"/>
            <family val="2"/>
          </rPr>
          <t>P04 / 1UN.
J12 / 1UN.</t>
        </r>
      </text>
    </comment>
    <comment ref="G7" authorId="0" shapeId="0" xr:uid="{BDC62CDB-5F18-40EA-AAC0-FA3EC6A40B24}">
      <text>
        <r>
          <rPr>
            <b/>
            <sz val="9"/>
            <color indexed="81"/>
            <rFont val="Segoe UI"/>
            <family val="2"/>
          </rPr>
          <t>P10 / 1UN.</t>
        </r>
      </text>
    </comment>
    <comment ref="G8" authorId="0" shapeId="0" xr:uid="{27165EA0-59CC-4848-885E-037E33317AC4}">
      <text>
        <r>
          <rPr>
            <b/>
            <sz val="9"/>
            <color indexed="81"/>
            <rFont val="Segoe UI"/>
            <family val="2"/>
          </rPr>
          <t>P08 / 1UN.
P09 / 1UN.
J11 / 1UN.
J12 / UN.
J09 / 1UN.</t>
        </r>
      </text>
    </comment>
    <comment ref="G11" authorId="0" shapeId="0" xr:uid="{C700079F-0722-402E-951E-95C50B33788E}">
      <text>
        <r>
          <rPr>
            <b/>
            <sz val="9"/>
            <color indexed="81"/>
            <rFont val="Segoe UI"/>
            <family val="2"/>
          </rPr>
          <t>P05 / 1UN.</t>
        </r>
      </text>
    </comment>
    <comment ref="G12" authorId="0" shapeId="0" xr:uid="{3D9ACB26-A5F8-479A-A667-7FB040532306}">
      <text>
        <r>
          <rPr>
            <b/>
            <sz val="9"/>
            <color indexed="81"/>
            <rFont val="Segoe UI"/>
            <family val="2"/>
          </rPr>
          <t>P05 / 1UN.
J10 / 1UN.</t>
        </r>
      </text>
    </comment>
    <comment ref="G13" authorId="0" shapeId="0" xr:uid="{941A5B1E-F054-44CC-B8D5-7450067CE15D}">
      <text>
        <r>
          <rPr>
            <b/>
            <sz val="9"/>
            <color indexed="81"/>
            <rFont val="Segoe UI"/>
            <family val="2"/>
          </rPr>
          <t>P05 / 1UN.
VÃO</t>
        </r>
      </text>
    </comment>
    <comment ref="G14" authorId="0" shapeId="0" xr:uid="{037689F2-5A2B-4A04-BF2E-19E48B629CCF}">
      <text>
        <r>
          <rPr>
            <b/>
            <sz val="9"/>
            <color indexed="81"/>
            <rFont val="Segoe UI"/>
            <family val="2"/>
          </rPr>
          <t>P05 / 1UN.
J06 / 1UN.</t>
        </r>
      </text>
    </comment>
    <comment ref="G15" authorId="0" shapeId="0" xr:uid="{AB01F6F1-18D8-41AF-8DED-4FFABCE36E75}">
      <text>
        <r>
          <rPr>
            <b/>
            <sz val="9"/>
            <color indexed="81"/>
            <rFont val="Segoe UI"/>
            <family val="2"/>
          </rPr>
          <t>P04 / 2UN.</t>
        </r>
      </text>
    </comment>
    <comment ref="G16" authorId="0" shapeId="0" xr:uid="{2380D0ED-8985-4833-BCAA-6A1B3F8E0D50}">
      <text>
        <r>
          <rPr>
            <b/>
            <sz val="9"/>
            <color indexed="81"/>
            <rFont val="Segoe UI"/>
            <family val="2"/>
          </rPr>
          <t>P04 / 1UN.
J08 / 1UN.</t>
        </r>
      </text>
    </comment>
    <comment ref="G17" authorId="0" shapeId="0" xr:uid="{97564EBB-87D3-4532-BEED-2B753F8BD550}">
      <text>
        <r>
          <rPr>
            <b/>
            <sz val="9"/>
            <color indexed="81"/>
            <rFont val="Segoe UI"/>
            <family val="2"/>
          </rPr>
          <t>P04 / 1UN.
J09 / 1UN.</t>
        </r>
      </text>
    </comment>
    <comment ref="G18" authorId="0" shapeId="0" xr:uid="{D3D7E5CE-0704-47DF-A705-A3BD27EDA4C8}">
      <text>
        <r>
          <rPr>
            <b/>
            <sz val="9"/>
            <color indexed="81"/>
            <rFont val="Segoe UI"/>
            <family val="2"/>
          </rPr>
          <t>P04 / 1UN.</t>
        </r>
      </text>
    </comment>
    <comment ref="G19" authorId="0" shapeId="0" xr:uid="{E66BCC40-55F9-4E36-91F1-63F14062F621}">
      <text>
        <r>
          <rPr>
            <b/>
            <sz val="9"/>
            <color indexed="81"/>
            <rFont val="Segoe UI"/>
            <family val="2"/>
          </rPr>
          <t>P07 / 1UN.
VÃO</t>
        </r>
      </text>
    </comment>
    <comment ref="G20" authorId="0" shapeId="0" xr:uid="{B5C7E452-1EF1-4C8F-97C6-3311DA3F5EFF}">
      <text>
        <r>
          <rPr>
            <b/>
            <sz val="9"/>
            <color indexed="81"/>
            <rFont val="Segoe UI"/>
            <family val="2"/>
          </rPr>
          <t>P07 / 1UN.
J07 / 1UN.</t>
        </r>
      </text>
    </comment>
    <comment ref="G21" authorId="0" shapeId="0" xr:uid="{3C991388-C588-480D-B59E-539243F1ED27}">
      <text>
        <r>
          <rPr>
            <b/>
            <sz val="9"/>
            <color indexed="81"/>
            <rFont val="Segoe UI"/>
            <family val="2"/>
          </rPr>
          <t>P06 / 1UN.
J08 / 1UN.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22" authorId="0" shapeId="0" xr:uid="{E58FB4E6-C117-4050-9C47-7E176E0A67BE}">
      <text>
        <r>
          <rPr>
            <b/>
            <sz val="9"/>
            <color indexed="81"/>
            <rFont val="Segoe UI"/>
            <family val="2"/>
          </rPr>
          <t xml:space="preserve">P06 / 1UN.
J08 / 1UN.
</t>
        </r>
      </text>
    </comment>
    <comment ref="G23" authorId="0" shapeId="0" xr:uid="{E52F3795-D386-42A7-97E2-CDFB7ABD529E}">
      <text>
        <r>
          <rPr>
            <b/>
            <sz val="9"/>
            <color indexed="81"/>
            <rFont val="Segoe UI"/>
            <family val="2"/>
          </rPr>
          <t xml:space="preserve">P06 / 1UN.
J08 / 1UN.
</t>
        </r>
      </text>
    </comment>
    <comment ref="G24" authorId="0" shapeId="0" xr:uid="{28B4906A-C742-4FF7-9CF6-0F94EB1D5CBF}">
      <text>
        <r>
          <rPr>
            <b/>
            <sz val="9"/>
            <color indexed="81"/>
            <rFont val="Segoe UI"/>
            <family val="2"/>
          </rPr>
          <t>P04 / 3UN.
P06 / 3UN.
VÃO</t>
        </r>
      </text>
    </comment>
    <comment ref="G25" authorId="0" shapeId="0" xr:uid="{C7F17D22-3238-4DB5-B748-3DCD1DA29406}">
      <text>
        <r>
          <rPr>
            <b/>
            <sz val="9"/>
            <color indexed="81"/>
            <rFont val="Segoe UI"/>
            <family val="2"/>
          </rPr>
          <t>P04 / 1UN.</t>
        </r>
      </text>
    </comment>
    <comment ref="G26" authorId="0" shapeId="0" xr:uid="{098364DB-B58A-409A-B01B-7D69410E659E}">
      <text>
        <r>
          <rPr>
            <b/>
            <sz val="9"/>
            <color indexed="81"/>
            <rFont val="Segoe UI"/>
            <family val="2"/>
          </rPr>
          <t>P04 / 1UN.
J08 / 1UN.</t>
        </r>
      </text>
    </comment>
    <comment ref="G27" authorId="0" shapeId="0" xr:uid="{2A9B49D3-17C9-4F7E-9845-C98C7BEB5A16}">
      <text>
        <r>
          <rPr>
            <b/>
            <sz val="9"/>
            <color indexed="81"/>
            <rFont val="Segoe UI"/>
            <family val="2"/>
          </rPr>
          <t>P04 / 3UN.</t>
        </r>
      </text>
    </comment>
    <comment ref="G28" authorId="0" shapeId="0" xr:uid="{9F1C3CBF-EA5F-4810-BAFE-B7EFA3A825B4}">
      <text>
        <r>
          <rPr>
            <b/>
            <sz val="9"/>
            <color indexed="81"/>
            <rFont val="Segoe UI"/>
            <family val="2"/>
          </rPr>
          <t>P04 / 1UN.
J09 / 1UN.</t>
        </r>
      </text>
    </comment>
    <comment ref="G29" authorId="0" shapeId="0" xr:uid="{F99A1BE9-F1E2-4E25-AE29-DAEF7448CFE1}">
      <text>
        <r>
          <rPr>
            <b/>
            <sz val="9"/>
            <color indexed="81"/>
            <rFont val="Segoe UI"/>
            <family val="2"/>
          </rPr>
          <t>P04 / 1UN.
J09 / 1UN.</t>
        </r>
      </text>
    </comment>
    <comment ref="G30" authorId="0" shapeId="0" xr:uid="{D1D45ABD-7093-455A-9A45-84EB4A2A8A21}">
      <text>
        <r>
          <rPr>
            <b/>
            <sz val="9"/>
            <color indexed="81"/>
            <rFont val="Segoe UI"/>
            <family val="2"/>
          </rPr>
          <t>P04 / 1UN.
J09 / 1UN.</t>
        </r>
      </text>
    </comment>
    <comment ref="G31" authorId="0" shapeId="0" xr:uid="{5D6AA363-88CF-4A71-973C-CCC2AC78BFD3}">
      <text>
        <r>
          <rPr>
            <b/>
            <sz val="9"/>
            <color indexed="81"/>
            <rFont val="Segoe UI"/>
            <family val="2"/>
          </rPr>
          <t>P04 / 1UN.
J08 / 1UN.</t>
        </r>
      </text>
    </comment>
    <comment ref="G32" authorId="0" shapeId="0" xr:uid="{2800CC53-F392-46C8-AC19-75EFC86E3D4D}">
      <text>
        <r>
          <rPr>
            <b/>
            <sz val="9"/>
            <color indexed="81"/>
            <rFont val="Segoe UI"/>
            <family val="2"/>
          </rPr>
          <t>P04 / 1UN.
J08 / 2UN.</t>
        </r>
      </text>
    </comment>
    <comment ref="G34" authorId="0" shapeId="0" xr:uid="{2238C7FA-295E-4369-8432-7436AC4D4A24}">
      <text>
        <r>
          <rPr>
            <b/>
            <sz val="9"/>
            <color indexed="81"/>
            <rFont val="Segoe UI"/>
            <family val="2"/>
          </rPr>
          <t>VÃO</t>
        </r>
      </text>
    </comment>
    <comment ref="G35" authorId="0" shapeId="0" xr:uid="{EAF0BA00-FC78-4F3A-B6C4-6AEF82BEA115}">
      <text>
        <r>
          <rPr>
            <b/>
            <sz val="9"/>
            <color indexed="81"/>
            <rFont val="Segoe UI"/>
            <family val="2"/>
          </rPr>
          <t>P01 / 1UN.
VÃO</t>
        </r>
      </text>
    </comment>
    <comment ref="G36" authorId="0" shapeId="0" xr:uid="{55969CD8-CDBC-4190-B28F-6D7B5495FE4D}">
      <text>
        <r>
          <rPr>
            <b/>
            <sz val="9"/>
            <color indexed="81"/>
            <rFont val="Segoe UI"/>
            <family val="2"/>
          </rPr>
          <t>P02 / 2UN.
VÃO</t>
        </r>
      </text>
    </comment>
    <comment ref="G37" authorId="0" shapeId="0" xr:uid="{330758B9-433B-4FAB-B334-6359A3799572}">
      <text>
        <r>
          <rPr>
            <b/>
            <sz val="9"/>
            <color indexed="81"/>
            <rFont val="Segoe UI"/>
            <family val="2"/>
          </rPr>
          <t>P02 / 1UN.
J01 / 1UN.</t>
        </r>
      </text>
    </comment>
    <comment ref="G38" authorId="0" shapeId="0" xr:uid="{BBDC9BB5-6C91-4392-AFFC-818D30E732E3}">
      <text>
        <r>
          <rPr>
            <b/>
            <sz val="9"/>
            <color indexed="81"/>
            <rFont val="Segoe UI"/>
            <family val="2"/>
          </rPr>
          <t>P02 / 1UN.</t>
        </r>
      </text>
    </comment>
    <comment ref="G39" authorId="0" shapeId="0" xr:uid="{E7FC2CE1-1FBE-460F-895C-110FE0898336}">
      <text>
        <r>
          <rPr>
            <b/>
            <sz val="9"/>
            <color indexed="81"/>
            <rFont val="Segoe UI"/>
            <family val="2"/>
          </rPr>
          <t>P02 / 1UN.
P03 / 1UN.
VÃO</t>
        </r>
      </text>
    </comment>
    <comment ref="G40" authorId="0" shapeId="0" xr:uid="{83F45D99-10F1-487B-AC8E-DCC2C3978CB2}">
      <text>
        <r>
          <rPr>
            <b/>
            <sz val="9"/>
            <color indexed="81"/>
            <rFont val="Segoe UI"/>
            <family val="2"/>
          </rPr>
          <t>P03 / 1UN.</t>
        </r>
      </text>
    </comment>
    <comment ref="G41" authorId="0" shapeId="0" xr:uid="{DF465012-AA2B-4A00-9545-2D331B75AF67}">
      <text>
        <r>
          <rPr>
            <b/>
            <sz val="9"/>
            <color indexed="81"/>
            <rFont val="Segoe UI"/>
            <family val="2"/>
          </rPr>
          <t>P02 / 1UN.
J01 / 1UN.</t>
        </r>
      </text>
    </comment>
    <comment ref="G42" authorId="0" shapeId="0" xr:uid="{5C5857A4-5FB4-4514-93AB-F79BB19C7A9D}">
      <text>
        <r>
          <rPr>
            <b/>
            <sz val="9"/>
            <color indexed="81"/>
            <rFont val="Segoe UI"/>
            <family val="2"/>
          </rPr>
          <t>P01 / 1UN.
J02 / 2UN.</t>
        </r>
      </text>
    </comment>
    <comment ref="G43" authorId="0" shapeId="0" xr:uid="{90F3C891-DCE1-4139-9642-A6334B11F36C}">
      <text>
        <r>
          <rPr>
            <b/>
            <sz val="9"/>
            <color indexed="81"/>
            <rFont val="Segoe UI"/>
            <family val="2"/>
          </rPr>
          <t>J03 / 4UN.
VÃO</t>
        </r>
      </text>
    </comment>
    <comment ref="G44" authorId="0" shapeId="0" xr:uid="{801450CD-9435-431E-990B-830AD131A169}">
      <text>
        <r>
          <rPr>
            <b/>
            <sz val="9"/>
            <color indexed="81"/>
            <rFont val="Segoe UI"/>
            <family val="2"/>
          </rPr>
          <t>P01 / 1UN.
P06 / 1UN.
J03 / 2UN.
VÃO</t>
        </r>
      </text>
    </comment>
    <comment ref="G45" authorId="0" shapeId="0" xr:uid="{3307EFAE-8FDE-46A7-A7C3-9313C12BDE9A}">
      <text>
        <r>
          <rPr>
            <b/>
            <sz val="9"/>
            <color indexed="81"/>
            <rFont val="Segoe UI"/>
            <family val="2"/>
          </rPr>
          <t>P04 / 3UN.
P01 / 1UN.</t>
        </r>
      </text>
    </comment>
    <comment ref="G46" authorId="0" shapeId="0" xr:uid="{BFB10FB6-2AA0-4B0F-BC1F-2FB452EF31A6}">
      <text>
        <r>
          <rPr>
            <b/>
            <sz val="9"/>
            <color indexed="81"/>
            <rFont val="Segoe UI"/>
            <family val="2"/>
          </rPr>
          <t>P04 / 1UN.
J03 / 1UN.
VÃO</t>
        </r>
      </text>
    </comment>
    <comment ref="G47" authorId="0" shapeId="0" xr:uid="{BDECFC7D-E62F-45BD-8B98-EDB8CD56244C}">
      <text>
        <r>
          <rPr>
            <b/>
            <sz val="9"/>
            <color indexed="81"/>
            <rFont val="Segoe UI"/>
            <family val="2"/>
          </rPr>
          <t>P04 / 1UN.</t>
        </r>
      </text>
    </comment>
    <comment ref="G48" authorId="0" shapeId="0" xr:uid="{E9E1D004-5F11-48C5-9EB6-F9D4E4F58375}">
      <text>
        <r>
          <rPr>
            <b/>
            <sz val="9"/>
            <color indexed="81"/>
            <rFont val="Segoe UI"/>
            <family val="2"/>
          </rPr>
          <t>P04 / 3UN.
P06 / 1 UN.
VÃO</t>
        </r>
      </text>
    </comment>
    <comment ref="G49" authorId="0" shapeId="0" xr:uid="{3F8C5B9F-BA4C-4F51-9FA0-110B4052E8D4}">
      <text>
        <r>
          <rPr>
            <b/>
            <sz val="9"/>
            <color indexed="81"/>
            <rFont val="Segoe UI"/>
            <family val="2"/>
          </rPr>
          <t>P05 / 1UN.
VÃO</t>
        </r>
      </text>
    </comment>
    <comment ref="G50" authorId="0" shapeId="0" xr:uid="{D1D5DDA7-F5BF-4723-98FB-A76A609E0771}">
      <text>
        <r>
          <rPr>
            <b/>
            <sz val="9"/>
            <color indexed="81"/>
            <rFont val="Segoe UI"/>
            <family val="2"/>
          </rPr>
          <t>P05 / 1UN.
J05 / 1UN.</t>
        </r>
      </text>
    </comment>
    <comment ref="G51" authorId="0" shapeId="0" xr:uid="{A7C38C95-EAC1-4E2B-930A-3D33C44F1E5F}">
      <text>
        <r>
          <rPr>
            <b/>
            <sz val="9"/>
            <color indexed="81"/>
            <rFont val="Segoe UI"/>
            <family val="2"/>
          </rPr>
          <t>P04 / 1UN.</t>
        </r>
      </text>
    </comment>
    <comment ref="G52" authorId="0" shapeId="0" xr:uid="{2F7DB2F5-6338-4724-95E6-F1F967C1D324}">
      <text>
        <r>
          <rPr>
            <b/>
            <sz val="9"/>
            <color indexed="81"/>
            <rFont val="Segoe UI"/>
            <family val="2"/>
          </rPr>
          <t>P04 / 1UN.
J04 / 1UN.</t>
        </r>
      </text>
    </comment>
    <comment ref="G54" authorId="0" shapeId="0" xr:uid="{54CDC9AD-1CDD-4AA2-87F0-8B568E96A71D}">
      <text>
        <r>
          <rPr>
            <b/>
            <sz val="9"/>
            <color indexed="81"/>
            <rFont val="Segoe UI"/>
            <family val="2"/>
          </rPr>
          <t>VÃO</t>
        </r>
      </text>
    </comment>
    <comment ref="G55" authorId="0" shapeId="0" xr:uid="{D0C34CA4-70A5-4BBD-BCC0-C740BBC4A196}">
      <text>
        <r>
          <rPr>
            <b/>
            <sz val="9"/>
            <color indexed="81"/>
            <rFont val="Segoe UI"/>
            <family val="2"/>
          </rPr>
          <t>P04 / 2UN.
J04 / 1UN.</t>
        </r>
      </text>
    </comment>
    <comment ref="G56" authorId="0" shapeId="0" xr:uid="{8F951949-68E2-42F3-BCC4-998496FAFFCB}">
      <text>
        <r>
          <rPr>
            <b/>
            <sz val="9"/>
            <color indexed="81"/>
            <rFont val="Segoe UI"/>
            <family val="2"/>
          </rPr>
          <t>P04 / 2UN.
P06 / 1UN.</t>
        </r>
      </text>
    </comment>
    <comment ref="G57" authorId="0" shapeId="0" xr:uid="{8BE4D604-94FB-4E51-981E-EDC09914064B}">
      <text>
        <r>
          <rPr>
            <b/>
            <sz val="9"/>
            <color indexed="81"/>
            <rFont val="Segoe UI"/>
            <family val="2"/>
          </rPr>
          <t>P06 / 1UN.
VÃO</t>
        </r>
      </text>
    </comment>
    <comment ref="G58" authorId="0" shapeId="0" xr:uid="{89CDC3BA-F629-4AC0-B50E-902B45EC76CE}">
      <text>
        <r>
          <rPr>
            <b/>
            <sz val="9"/>
            <color indexed="81"/>
            <rFont val="Segoe UI"/>
            <family val="2"/>
          </rPr>
          <t>P04 / 1UN.
J03 / 1UN.</t>
        </r>
      </text>
    </comment>
    <comment ref="G67" authorId="0" shapeId="0" xr:uid="{1976031D-C015-4792-B496-AED97FF720D0}">
      <text>
        <r>
          <rPr>
            <b/>
            <sz val="9"/>
            <color indexed="81"/>
            <rFont val="Segoe UI"/>
            <family val="2"/>
          </rPr>
          <t>PV 02 / 1UN.
J07 / 8UN.
J08 / 4UN.</t>
        </r>
      </text>
    </comment>
    <comment ref="G68" authorId="0" shapeId="0" xr:uid="{636021B1-132C-4925-9378-BE0CDD0F51B5}">
      <text>
        <r>
          <rPr>
            <b/>
            <sz val="9"/>
            <color indexed="81"/>
            <rFont val="Segoe UI"/>
            <family val="2"/>
          </rPr>
          <t>J10 / 1UN.</t>
        </r>
      </text>
    </comment>
    <comment ref="G69" authorId="0" shapeId="0" xr:uid="{A9FF568C-31A2-42C6-8A4D-549BA94BB645}">
      <text>
        <r>
          <rPr>
            <b/>
            <sz val="9"/>
            <color indexed="81"/>
            <rFont val="Segoe UI"/>
            <family val="2"/>
          </rPr>
          <t>J05 / 1UN.</t>
        </r>
      </text>
    </comment>
    <comment ref="G70" authorId="0" shapeId="0" xr:uid="{ED514BC3-32E4-430E-A36A-718E6F68D630}">
      <text>
        <r>
          <rPr>
            <b/>
            <sz val="9"/>
            <color indexed="81"/>
            <rFont val="Segoe UI"/>
            <family val="2"/>
          </rPr>
          <t>J06 / 1UN.</t>
        </r>
      </text>
    </comment>
    <comment ref="G71" authorId="0" shapeId="0" xr:uid="{CCC8053A-3D33-48C0-9729-92365463A743}">
      <text>
        <r>
          <rPr>
            <b/>
            <sz val="9"/>
            <color indexed="81"/>
            <rFont val="Segoe UI"/>
            <family val="2"/>
          </rPr>
          <t>J06 / 1UN.</t>
        </r>
      </text>
    </comment>
    <comment ref="G72" authorId="0" shapeId="0" xr:uid="{42C4330F-1B91-4CE9-8417-A724165C363F}">
      <text>
        <r>
          <rPr>
            <b/>
            <sz val="9"/>
            <color indexed="81"/>
            <rFont val="Segoe UI"/>
            <family val="2"/>
          </rPr>
          <t>PV01 / 1UN.
J02 / 8UN.
J03 / 4 UN.
PV02 / 1UN.</t>
        </r>
      </text>
    </comment>
    <comment ref="G74" authorId="0" shapeId="0" xr:uid="{1C8102FF-7777-4EB8-A1CF-C480F0C236D7}">
      <text>
        <r>
          <rPr>
            <b/>
            <sz val="9"/>
            <color indexed="81"/>
            <rFont val="Segoe UI"/>
            <family val="2"/>
          </rPr>
          <t>J01 / 1UN.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Win_10</author>
  </authors>
  <commentList>
    <comment ref="D6" authorId="0" shapeId="0" xr:uid="{31EC1630-5B68-44A1-A046-96F00BDA16C6}">
      <text>
        <r>
          <rPr>
            <b/>
            <sz val="9"/>
            <color indexed="81"/>
            <rFont val="Segoe UI"/>
            <family val="2"/>
          </rPr>
          <t>ÁREA SOMADA COM A ALTURA DOS ESPELHOS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Win_10</author>
  </authors>
  <commentList>
    <comment ref="I3" authorId="0" shapeId="0" xr:uid="{22E877C4-E84D-4853-815A-10574892A316}">
      <text>
        <r>
          <rPr>
            <b/>
            <sz val="9"/>
            <color indexed="81"/>
            <rFont val="Segoe UI"/>
            <family val="2"/>
          </rPr>
          <t>FORRO DE GESSO ACARTONADO</t>
        </r>
      </text>
    </comment>
    <comment ref="I18" authorId="0" shapeId="0" xr:uid="{9444FD82-BFA6-4D03-9D5E-EEB84A2BAF28}">
      <text>
        <r>
          <rPr>
            <b/>
            <sz val="9"/>
            <color indexed="81"/>
            <rFont val="Segoe UI"/>
            <family val="2"/>
          </rPr>
          <t>FORRO DE GESSO ACARTONADO</t>
        </r>
      </text>
    </comment>
    <comment ref="I19" authorId="0" shapeId="0" xr:uid="{8BC49360-6B15-40E4-B7B7-D28603F47F30}">
      <text>
        <r>
          <rPr>
            <b/>
            <sz val="9"/>
            <color indexed="81"/>
            <rFont val="Segoe UI"/>
            <family val="2"/>
          </rPr>
          <t>FORRO DE GESSO ACARTONADO</t>
        </r>
      </text>
    </comment>
    <comment ref="I41" authorId="0" shapeId="0" xr:uid="{BBEF2204-EA9C-43B4-ABD0-357E46378742}">
      <text>
        <r>
          <rPr>
            <b/>
            <sz val="9"/>
            <color indexed="81"/>
            <rFont val="Segoe UI"/>
            <family val="2"/>
          </rPr>
          <t>FORRO MODULAR MINERAL ACÚSTICO</t>
        </r>
      </text>
    </comment>
    <comment ref="I42" authorId="0" shapeId="0" xr:uid="{2ABEAAC2-CAC3-4366-8CC3-DF7783A7FAA6}">
      <text>
        <r>
          <rPr>
            <b/>
            <sz val="9"/>
            <color indexed="81"/>
            <rFont val="Segoe UI"/>
            <family val="2"/>
          </rPr>
          <t xml:space="preserve">FORRO MODULAR MINERAL ACÚSTICO </t>
        </r>
      </text>
    </comment>
    <comment ref="I43" authorId="0" shapeId="0" xr:uid="{A5D71335-F4C8-4B5C-BF31-65A2A8CFE5C5}">
      <text>
        <r>
          <rPr>
            <b/>
            <sz val="9"/>
            <color indexed="81"/>
            <rFont val="Segoe UI"/>
            <family val="2"/>
          </rPr>
          <t>FORRO MODULAR MINERAL ACÚSTICO</t>
        </r>
      </text>
    </comment>
    <comment ref="I44" authorId="0" shapeId="0" xr:uid="{F78444FE-964E-40E9-ABC0-75696525674D}">
      <text>
        <r>
          <rPr>
            <b/>
            <sz val="9"/>
            <color indexed="81"/>
            <rFont val="Segoe UI"/>
            <family val="2"/>
          </rPr>
          <t>FORRO MODULAR MINERAL ACÚSTICO REBAIXADO</t>
        </r>
      </text>
    </comment>
    <comment ref="I45" authorId="0" shapeId="0" xr:uid="{E81C2D2D-C9DC-4E74-9E86-BF7FDF438F57}">
      <text>
        <r>
          <rPr>
            <b/>
            <sz val="9"/>
            <color indexed="81"/>
            <rFont val="Segoe UI"/>
            <family val="2"/>
          </rPr>
          <t>FORRO MDF REBAIXADO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Win_10</author>
  </authors>
  <commentList>
    <comment ref="B5" authorId="0" shapeId="0" xr:uid="{CE00921D-A8B8-45D3-A7D8-B779E8F2817B}">
      <text>
        <r>
          <rPr>
            <b/>
            <sz val="9"/>
            <color indexed="81"/>
            <rFont val="Segoe UI"/>
            <family val="2"/>
          </rPr>
          <t>PORTA PESADA</t>
        </r>
      </text>
    </comment>
    <comment ref="B6" authorId="0" shapeId="0" xr:uid="{365D1874-12DA-4EEC-B486-123A9ED86254}">
      <text>
        <r>
          <rPr>
            <b/>
            <sz val="9"/>
            <color indexed="81"/>
            <rFont val="Segoe UI"/>
            <family val="2"/>
          </rPr>
          <t>PORTA PESADA</t>
        </r>
      </text>
    </comment>
  </commentList>
</comments>
</file>

<file path=xl/sharedStrings.xml><?xml version="1.0" encoding="utf-8"?>
<sst xmlns="http://schemas.openxmlformats.org/spreadsheetml/2006/main" count="820" uniqueCount="216">
  <si>
    <t>QTDD.</t>
  </si>
  <si>
    <t>TOTAL</t>
  </si>
  <si>
    <t>ALMOXARIFADO</t>
  </si>
  <si>
    <t>ESCADA</t>
  </si>
  <si>
    <t>ÁREA DE SERVIÇO</t>
  </si>
  <si>
    <t>ÁREA TÉCNICA</t>
  </si>
  <si>
    <t>ÁREA COBERTA</t>
  </si>
  <si>
    <t>RECEPÇÃO</t>
  </si>
  <si>
    <t>SALA DE REUNIÕES</t>
  </si>
  <si>
    <t>APOIO</t>
  </si>
  <si>
    <t>I.S. P.C.D.</t>
  </si>
  <si>
    <t>ESPERA</t>
  </si>
  <si>
    <t>SALA EXTRA 1</t>
  </si>
  <si>
    <t>SALA PRESIDENTE</t>
  </si>
  <si>
    <t>D.M.L.</t>
  </si>
  <si>
    <t>LAVATÓRIO</t>
  </si>
  <si>
    <t>SALA JURÍDICA</t>
  </si>
  <si>
    <t>SALA AUDITOR</t>
  </si>
  <si>
    <t>SALA DIRETOR</t>
  </si>
  <si>
    <t>CIRCULAÇÃO</t>
  </si>
  <si>
    <t>IMPRESSORAS</t>
  </si>
  <si>
    <t>COPA</t>
  </si>
  <si>
    <t>SALA CONTABILIDADE</t>
  </si>
  <si>
    <t>SALA INFORMÁTICA</t>
  </si>
  <si>
    <t>SALA COMPRAS RH</t>
  </si>
  <si>
    <t>ARQUIVO</t>
  </si>
  <si>
    <t>SALA DE REUNIÕES/LICITAÇÕES</t>
  </si>
  <si>
    <t>I.S. FEMININO</t>
  </si>
  <si>
    <t>FRALDÁRIO</t>
  </si>
  <si>
    <t>I.S. MASCULINO</t>
  </si>
  <si>
    <t>AUDITÓRIO</t>
  </si>
  <si>
    <t>PLENÁRIO</t>
  </si>
  <si>
    <t>HALL</t>
  </si>
  <si>
    <t>SALA DE SOM</t>
  </si>
  <si>
    <t>SALA DE APOIO</t>
  </si>
  <si>
    <t>CIRCULAÇÃO TÉCNICA</t>
  </si>
  <si>
    <t>DEPÓSITO</t>
  </si>
  <si>
    <t>AMBIENTE</t>
  </si>
  <si>
    <t>ÁREA (m²)</t>
  </si>
  <si>
    <t>PERÍMETRO (m)</t>
  </si>
  <si>
    <t>PÉ DIREITO (m)</t>
  </si>
  <si>
    <t>I.S.</t>
  </si>
  <si>
    <t>FOYER PÉ DIREITO DUPLO</t>
  </si>
  <si>
    <t>FOYER PÉ DIREITO SIMPLES</t>
  </si>
  <si>
    <t>DESCONTOS (m²)</t>
  </si>
  <si>
    <t>ÁREA LÍQUIDA (m²)</t>
  </si>
  <si>
    <t>SUBSOLO</t>
  </si>
  <si>
    <t>T. ADMINISTRATIVO</t>
  </si>
  <si>
    <t>T. AUDITÓRIO</t>
  </si>
  <si>
    <t>PAV. SUPERIOR</t>
  </si>
  <si>
    <t>NOME</t>
  </si>
  <si>
    <t>ÁREAS EXTERNAS</t>
  </si>
  <si>
    <t>MURO DE DIVISA FUNDOS</t>
  </si>
  <si>
    <t>ÁREA PARA LIXEIRAS</t>
  </si>
  <si>
    <t>BASE EM ALVENARIA P/ PLACA</t>
  </si>
  <si>
    <t>ÁREA COBERTA (MEIA PAREDE)</t>
  </si>
  <si>
    <t>MURO LATERAL (BASE PÓRTICOS)</t>
  </si>
  <si>
    <t>VARIÁVEL</t>
  </si>
  <si>
    <t>CANTEIRO (ACESSO PEDESTRE)</t>
  </si>
  <si>
    <t>MURO DO ACESSO DE VEÍCULOS (LADO INTERNO)</t>
  </si>
  <si>
    <t>MURO DO ACESSO DE VEÍCULOS (LADO EXTERNO)</t>
  </si>
  <si>
    <t>LADO EXTERNO DO T. ADM.</t>
  </si>
  <si>
    <t>LADO INTERNO COBERTURA ADM.</t>
  </si>
  <si>
    <t>LADO EXTERNO DO AUDITÓRIO</t>
  </si>
  <si>
    <t>ESTRUTURAS DE CONCRETO APARENTE</t>
  </si>
  <si>
    <t>VOLUME SUSPENSO LADO EXT. DO T. ADM.</t>
  </si>
  <si>
    <t>VOLUME DA CAIXA D'ÁGUA ADM. (EXT.)</t>
  </si>
  <si>
    <t>VOLUME DA CAIXA D'ÁGUA ADM. (INT.)</t>
  </si>
  <si>
    <t>ÁREA TÉCNICA COBERTURA AUDITÓRIO</t>
  </si>
  <si>
    <t>ÁREA DAS SUPERFÍCIES DAS PAREDES (m²)</t>
  </si>
  <si>
    <t>NÃO</t>
  </si>
  <si>
    <t>PINTURA (m²)</t>
  </si>
  <si>
    <t>I.S. P.C.D. (INTERNO)</t>
  </si>
  <si>
    <t>COBETRURA</t>
  </si>
  <si>
    <t>BASE DO AUDITÓRIO</t>
  </si>
  <si>
    <t>CHAPISCO INTERNO (m²)</t>
  </si>
  <si>
    <t>FORRO (m²)</t>
  </si>
  <si>
    <t>CHAPISCO  (m²)</t>
  </si>
  <si>
    <t>EMBOÇO (m²)</t>
  </si>
  <si>
    <t>EMB. P/ CERÂMICA ATÉ 5m² (m²)</t>
  </si>
  <si>
    <t>EMB. P/ CERÂMICA DE 5 A 10m² (m²)</t>
  </si>
  <si>
    <t>REVESTIMENTO CERÂMICO DE 5 A 10m²(m²)</t>
  </si>
  <si>
    <t>REVESTIMENTO CERÂMICO ATÉ 5m² (m²)</t>
  </si>
  <si>
    <t>REVESTIMENTO CERÂMICO ATÉ 5m² - 1/2 PAREDE (m²)</t>
  </si>
  <si>
    <t>REVESTIMENTO CERÂMICO DE 5 A 10m² - 1/2 PAREDE (m²)</t>
  </si>
  <si>
    <t>CHAPISCO FACHADA SEM VÃOS</t>
  </si>
  <si>
    <t>CHAPISCO FACHADA COM VÃOS</t>
  </si>
  <si>
    <t>MASSA ÚNICA INTERNA PARA PINTURA (m²)</t>
  </si>
  <si>
    <t>LADO INTERNO COBERTURA AUDITÓRIO</t>
  </si>
  <si>
    <t>LOCAL</t>
  </si>
  <si>
    <t>CHAPIM</t>
  </si>
  <si>
    <t>UN.</t>
  </si>
  <si>
    <t>ED. ADMINISTRATIVO</t>
  </si>
  <si>
    <t>ED. AUDITÓRIO</t>
  </si>
  <si>
    <t>M</t>
  </si>
  <si>
    <t>CHAPIM (RUFO CAPA) EM AÇO GALVANIZADO, CORTE 33. AF_11/2020</t>
  </si>
  <si>
    <t>CHAPIM (RUFO CAPA) EM AÇO GALVANIZADO, CORTE 33. AF_11/2021</t>
  </si>
  <si>
    <t>CHAPIM (RUFO CAPA) EM AÇO GALVANIZADO, CORTE 33. AF_11/2022</t>
  </si>
  <si>
    <t>RUFOS</t>
  </si>
  <si>
    <t>CALHAS</t>
  </si>
  <si>
    <t>TESOURA</t>
  </si>
  <si>
    <t>TELHAMENTO</t>
  </si>
  <si>
    <t>M²</t>
  </si>
  <si>
    <t>ED.AUDITÓRIO</t>
  </si>
  <si>
    <t>P01</t>
  </si>
  <si>
    <t xml:space="preserve">ÁREA </t>
  </si>
  <si>
    <t>ÁREA x QTDD. (m²)</t>
  </si>
  <si>
    <t>LARGURA  (m)</t>
  </si>
  <si>
    <t>ALTURA  (m)</t>
  </si>
  <si>
    <t>PEITORIL (m)</t>
  </si>
  <si>
    <t>P02</t>
  </si>
  <si>
    <t>P03</t>
  </si>
  <si>
    <t>P04</t>
  </si>
  <si>
    <t>P05</t>
  </si>
  <si>
    <t>1</t>
  </si>
  <si>
    <t>2</t>
  </si>
  <si>
    <t>P06</t>
  </si>
  <si>
    <t>P07</t>
  </si>
  <si>
    <t>3</t>
  </si>
  <si>
    <t>P08</t>
  </si>
  <si>
    <t>P09</t>
  </si>
  <si>
    <t>P10</t>
  </si>
  <si>
    <t>PV1</t>
  </si>
  <si>
    <t>PV2</t>
  </si>
  <si>
    <t>PV3</t>
  </si>
  <si>
    <t>J01</t>
  </si>
  <si>
    <t>J02</t>
  </si>
  <si>
    <t>J03</t>
  </si>
  <si>
    <t>J04</t>
  </si>
  <si>
    <t>J05</t>
  </si>
  <si>
    <t>4</t>
  </si>
  <si>
    <t>6</t>
  </si>
  <si>
    <t>J06</t>
  </si>
  <si>
    <t>J07</t>
  </si>
  <si>
    <t>J08</t>
  </si>
  <si>
    <t>8</t>
  </si>
  <si>
    <t>J09</t>
  </si>
  <si>
    <t>J10</t>
  </si>
  <si>
    <t>J11</t>
  </si>
  <si>
    <t>J12</t>
  </si>
  <si>
    <t>IZ1</t>
  </si>
  <si>
    <t>PE1</t>
  </si>
  <si>
    <t>PE2</t>
  </si>
  <si>
    <t>PE3</t>
  </si>
  <si>
    <t>PE4</t>
  </si>
  <si>
    <t>GR1</t>
  </si>
  <si>
    <t>P. CABINE SANITÁRIA</t>
  </si>
  <si>
    <t>ALTURA DO PEITORIL (m)</t>
  </si>
  <si>
    <t>EDIFÍCIO</t>
  </si>
  <si>
    <t>CORRIMÃO</t>
  </si>
  <si>
    <t>PORTAS E JANELAS</t>
  </si>
  <si>
    <t>BRISES</t>
  </si>
  <si>
    <t>GRADIL EM JANELA</t>
  </si>
  <si>
    <t>PERGOLADO</t>
  </si>
  <si>
    <t>ÁREA EXTERNA</t>
  </si>
  <si>
    <t xml:space="preserve">ÁREA (m²) </t>
  </si>
  <si>
    <t>RAMPA EXTERNA SUB.</t>
  </si>
  <si>
    <t>ESCADA DE ACESSO</t>
  </si>
  <si>
    <t>COMPRIMENTO (m)</t>
  </si>
  <si>
    <t>ESCADAS LATERAIS</t>
  </si>
  <si>
    <t>RAMPA LATERAL</t>
  </si>
  <si>
    <t>INTERIOR DO AUD.</t>
  </si>
  <si>
    <t>ESCADA INT. ED. AUD.</t>
  </si>
  <si>
    <t>ESCADA INT. ED. ADM.</t>
  </si>
  <si>
    <t>GUARDA CORPO</t>
  </si>
  <si>
    <t>TIPO DE ACABAMENTO</t>
  </si>
  <si>
    <t>PISO PORCELANATO 03
ALTO TRÁFEGO; ACETINADO, RETIFICADO; 70x70cm
COR CINZA MÉDIO</t>
  </si>
  <si>
    <t>PISO PORCELANATO 01
ALTO TRÁFEGO; ACETINADO, RETIFICADO; 70x70cm
COR CINZA ESCURO</t>
  </si>
  <si>
    <t>PISO PORCELANATO 02
ALTO TRÁFEGO; ACETINADO, RETIFICADO; 70x70cm
COR CINZA CLARO</t>
  </si>
  <si>
    <t>PISO VINÍLICO 01
ALTO TRÁFEGO
COR A DEFINIR</t>
  </si>
  <si>
    <t xml:space="preserve">CARPETE 01
ALTO TRÁFEGO
COR A </t>
  </si>
  <si>
    <t>VAGAS E CIRCULAÇÃO</t>
  </si>
  <si>
    <t>ÁREA PERMEÁVEL COM VEGETAÇÃO</t>
  </si>
  <si>
    <t>ÁREA PERMEÁVEL COM VEGETAÇÃO
VEGETAÇÃO DE FORRAÇÃO: GRAMA AMENDOIM FORRAGEIRO (Arachis pintoi)</t>
  </si>
  <si>
    <t>CARPETE 01 E 02
ALTO TRÁFEGO
COR A E B</t>
  </si>
  <si>
    <t>TOTAL CARPETE</t>
  </si>
  <si>
    <t>TOTAL CALÇADA</t>
  </si>
  <si>
    <t>TOTAL PLACA CIM. OU GRANITO</t>
  </si>
  <si>
    <t>PISO PLACA CIMENTÍCIA
ALTO TRÁFEGO; ATÉRMICO; ANTIDERRAPANTE; 70x70cm
COR AREIA / OU PISO GRANITO ACABAMENTO PARA ÁREA EXTERNA</t>
  </si>
  <si>
    <t>PAVER DE CONCRETO
AMARRAÇÃO EM ESPINHA DE PEIXE / OU PASSEIO COM CONCRETO MOLDADO IN LOCO</t>
  </si>
  <si>
    <t>PISO CIMENTADO PARA ÁREA EXTERNA
ALTO TRÁFEGO; ANTIDERRAPANTE; PREVER JUNTAS DE DILATAÇÃO
COR CINZA MÉDIO</t>
  </si>
  <si>
    <t>PISO CIMENTADO PARA ÁREA INTERNA
ALTO TRÁFEGO; ANTIDERRAPANTE; PREVER JUNTAS DE DILATAÇÃO
COR CINZA CLARO</t>
  </si>
  <si>
    <t>PISO CIMENTADOO PARA ÁREA INTERNA
ALTO TRÁFEGO; ANTIDERRAPANTE; PREVER JUNTAS DE DILATAÇÃO
COR CINZA CLARO</t>
  </si>
  <si>
    <t>TOTAL PORCELANATO</t>
  </si>
  <si>
    <t>PISO VINÍLICO 02
ALTO TRÁFEGO
COR A DEFINIR</t>
  </si>
  <si>
    <t>TOTAL VINÍLICO</t>
  </si>
  <si>
    <t>TOTAL ÁREA PERMEÁVEL</t>
  </si>
  <si>
    <t>PINTURA P/ MADEIRA (m²)</t>
  </si>
  <si>
    <t>PINTURA P/ METAL (m²)</t>
  </si>
  <si>
    <t>SOLEIRAS</t>
  </si>
  <si>
    <t>SOLEIRAS EM MÁRMORE</t>
  </si>
  <si>
    <t>CONTRAPISO A. SECA (m²)</t>
  </si>
  <si>
    <t>CONTRAPISO A. MOLHADAS (m²)</t>
  </si>
  <si>
    <t>TOTAL PISO CIMENTADO A. INTERNA</t>
  </si>
  <si>
    <t>TOTAL PISO CIMENTADO A. EXTERNA</t>
  </si>
  <si>
    <t>DESCRIÇÃO</t>
  </si>
  <si>
    <t xml:space="preserve">ALVENARIA DE VEDAÇÃO DE BLOCOS VAZADOS DE CONCRETO DE 19X19X39 CM (ESPESSURA 19 CM) </t>
  </si>
  <si>
    <t>ALVENARIA DE VEDAÇÃO DE BLOCOS CERÂMICOS FURADOS NA VERTICAL DE 19X19X39 CM (ESPESSURA 19 CM)</t>
  </si>
  <si>
    <t>ALVENARIA DE VEDAÇÃO DE BLOCOS VAZADOS DE CONCRETO DE 9X19X39 CM (ESPESSURA 9 CM)</t>
  </si>
  <si>
    <t>PAREDE COM PLACAS DE GESSO ACARTONADO (DRYWALL)</t>
  </si>
  <si>
    <t>DIVISORIA SANITÁRIA, TIPO CABINE, EM GRANITO CINZA POLIDO</t>
  </si>
  <si>
    <t>TAPA VISTA DE MICTÓRIO EM GRANITO CINZA POLIDO</t>
  </si>
  <si>
    <t>AUDITÓRIO E PLENÁRIO (REBAIXADO)</t>
  </si>
  <si>
    <t>CONTRA-VERGA(m)</t>
  </si>
  <si>
    <t>VERGA (m)</t>
  </si>
  <si>
    <t>P11</t>
  </si>
  <si>
    <t>VERGA x QTDD.</t>
  </si>
  <si>
    <t>CONTRA-VERGA x QTDD.</t>
  </si>
  <si>
    <t xml:space="preserve">RUFO EXTERNO/INTERNO EM CHAPA DE AÇO GALVANIZADO NÚMERO 26, CORTE DE 33 CM, INCLUSO </t>
  </si>
  <si>
    <t>CALHA EM CHAPA DE AÇO GALVANIZADO NÚMERO 24, DESENVOLVIMENTO DE 33 CM, INCLUSO TRANSPORTE VERTICAL. AF_07/2019</t>
  </si>
  <si>
    <t>IMPERMEABILIZAÇÃO</t>
  </si>
  <si>
    <t>TELHAMENTO COM TELHA DE AÇO/ALUMÍNIO E = 0,5 MM, COM ATÉ 2 ÁGUAS, INCLUSO IÇAMENTO. AF_07/2019</t>
  </si>
  <si>
    <t>IMPERMEABILIZAÇÃO DE SUPERFÍCIE COM MANTA ASFÁLTICA, DUAS CAMADAS, INCLUSIVE APLICAÇÃO DE PRIMER ASFÁLTICO, E=3MM E E=4MM. AF_06/2018</t>
  </si>
  <si>
    <t>AREA VERTICAL</t>
  </si>
  <si>
    <t>CÂMARA MUNICIPAL DE ITAPORANGA</t>
  </si>
  <si>
    <t>MEMÓRIA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</si>
</sst>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rgb="FF006100"/>
      <name val="Times New Roman"/>
      <family val="2"/>
    </font>
    <font>
      <b/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A7D00"/>
      <name val="Times New Roman"/>
      <family val="2"/>
    </font>
    <font>
      <sz val="12"/>
      <color rgb="FF3F3F76"/>
      <name val="Times New Roman"/>
      <family val="2"/>
    </font>
    <font>
      <sz val="12"/>
      <color rgb="FF9C0006"/>
      <name val="Times New Roman"/>
      <family val="2"/>
    </font>
    <font>
      <sz val="12"/>
      <color rgb="FF9C6500"/>
      <name val="Times New Roman"/>
      <family val="2"/>
    </font>
    <font>
      <b/>
      <sz val="12"/>
      <color rgb="FF3F3F3F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2"/>
      <color theme="1"/>
      <name val="Times New Roman"/>
      <family val="2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2" borderId="0" applyNumberFormat="0" applyBorder="0" applyAlignment="0" applyProtection="0"/>
    <xf numFmtId="0" fontId="10" fillId="6" borderId="4" applyNumberFormat="0" applyAlignment="0" applyProtection="0"/>
    <xf numFmtId="0" fontId="11" fillId="7" borderId="7" applyNumberFormat="0" applyAlignment="0" applyProtection="0"/>
    <xf numFmtId="0" fontId="12" fillId="0" borderId="6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3" fillId="5" borderId="4" applyNumberFormat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" fillId="0" borderId="0"/>
    <xf numFmtId="0" fontId="7" fillId="8" borderId="8" applyNumberFormat="0" applyFont="0" applyAlignment="0" applyProtection="0"/>
    <xf numFmtId="0" fontId="16" fillId="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2" fontId="0" fillId="0" borderId="0" xfId="0" applyNumberFormat="1"/>
    <xf numFmtId="0" fontId="2" fillId="35" borderId="0" xfId="0" applyFont="1" applyFill="1" applyAlignment="1">
      <alignment horizontal="center" wrapText="1"/>
    </xf>
    <xf numFmtId="2" fontId="2" fillId="35" borderId="0" xfId="0" applyNumberFormat="1" applyFont="1" applyFill="1" applyAlignment="1">
      <alignment horizontal="center" wrapText="1"/>
    </xf>
    <xf numFmtId="0" fontId="0" fillId="33" borderId="0" xfId="0" applyFill="1"/>
    <xf numFmtId="2" fontId="0" fillId="33" borderId="0" xfId="0" applyNumberFormat="1" applyFill="1"/>
    <xf numFmtId="0" fontId="2" fillId="0" borderId="0" xfId="0" applyFont="1" applyFill="1" applyAlignment="1">
      <alignment horizontal="center" wrapText="1"/>
    </xf>
    <xf numFmtId="0" fontId="2" fillId="35" borderId="0" xfId="0" applyNumberFormat="1" applyFont="1" applyFill="1" applyAlignment="1">
      <alignment horizontal="center" wrapText="1"/>
    </xf>
    <xf numFmtId="0" fontId="0" fillId="0" borderId="0" xfId="0" applyNumberFormat="1"/>
    <xf numFmtId="0" fontId="0" fillId="33" borderId="0" xfId="0" applyNumberFormat="1" applyFill="1"/>
    <xf numFmtId="2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/>
    <xf numFmtId="2" fontId="0" fillId="0" borderId="0" xfId="0" applyNumberFormat="1" applyFill="1"/>
    <xf numFmtId="2" fontId="0" fillId="0" borderId="0" xfId="0" applyNumberFormat="1" applyFont="1" applyFill="1"/>
    <xf numFmtId="2" fontId="0" fillId="0" borderId="0" xfId="0" applyNumberFormat="1" applyFill="1" applyAlignment="1">
      <alignment horizontal="right"/>
    </xf>
    <xf numFmtId="0" fontId="0" fillId="0" borderId="0" xfId="0" applyNumberFormat="1" applyFill="1"/>
    <xf numFmtId="2" fontId="23" fillId="0" borderId="0" xfId="0" applyNumberFormat="1" applyFont="1" applyFill="1"/>
    <xf numFmtId="0" fontId="23" fillId="0" borderId="0" xfId="0" applyFont="1" applyFill="1"/>
    <xf numFmtId="0" fontId="5" fillId="0" borderId="0" xfId="0" applyFont="1" applyFill="1"/>
    <xf numFmtId="0" fontId="0" fillId="0" borderId="0" xfId="0" applyFill="1" applyAlignment="1">
      <alignment wrapText="1"/>
    </xf>
    <xf numFmtId="0" fontId="23" fillId="0" borderId="0" xfId="0" applyNumberFormat="1" applyFont="1" applyFill="1"/>
    <xf numFmtId="2" fontId="5" fillId="0" borderId="0" xfId="0" applyNumberFormat="1" applyFont="1" applyFill="1"/>
    <xf numFmtId="2" fontId="5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2" fillId="33" borderId="0" xfId="0" applyFont="1" applyFill="1"/>
    <xf numFmtId="2" fontId="2" fillId="33" borderId="0" xfId="0" applyNumberFormat="1" applyFont="1" applyFill="1"/>
    <xf numFmtId="0" fontId="2" fillId="34" borderId="0" xfId="0" applyFont="1" applyFill="1" applyAlignment="1">
      <alignment horizontal="center" wrapText="1"/>
    </xf>
    <xf numFmtId="2" fontId="2" fillId="34" borderId="0" xfId="0" applyNumberFormat="1" applyFont="1" applyFill="1" applyAlignment="1">
      <alignment horizontal="center" wrapText="1"/>
    </xf>
    <xf numFmtId="0" fontId="2" fillId="34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Fill="1" applyAlignment="1">
      <alignment horizontal="right"/>
    </xf>
    <xf numFmtId="49" fontId="2" fillId="34" borderId="0" xfId="0" applyNumberFormat="1" applyFont="1" applyFill="1" applyAlignment="1">
      <alignment horizontal="right" wrapText="1"/>
    </xf>
    <xf numFmtId="0" fontId="0" fillId="36" borderId="0" xfId="0" applyFill="1"/>
    <xf numFmtId="2" fontId="0" fillId="36" borderId="0" xfId="0" applyNumberFormat="1" applyFill="1"/>
    <xf numFmtId="0" fontId="0" fillId="36" borderId="0" xfId="0" applyNumberFormat="1" applyFill="1"/>
    <xf numFmtId="0" fontId="0" fillId="36" borderId="0" xfId="0" applyFill="1" applyAlignment="1"/>
    <xf numFmtId="0" fontId="0" fillId="33" borderId="0" xfId="0" applyFill="1" applyAlignment="1">
      <alignment wrapText="1"/>
    </xf>
    <xf numFmtId="2" fontId="5" fillId="33" borderId="0" xfId="0" applyNumberFormat="1" applyFont="1" applyFill="1"/>
    <xf numFmtId="49" fontId="0" fillId="33" borderId="0" xfId="0" applyNumberFormat="1" applyFill="1" applyAlignment="1">
      <alignment horizontal="right"/>
    </xf>
    <xf numFmtId="0" fontId="0" fillId="33" borderId="0" xfId="0" applyFill="1" applyAlignment="1"/>
    <xf numFmtId="0" fontId="0" fillId="0" borderId="0" xfId="0" applyAlignment="1">
      <alignment horizontal="left" vertical="top" wrapText="1"/>
    </xf>
    <xf numFmtId="0" fontId="0" fillId="37" borderId="0" xfId="0" applyFill="1"/>
    <xf numFmtId="2" fontId="0" fillId="37" borderId="0" xfId="0" applyNumberFormat="1" applyFill="1"/>
    <xf numFmtId="49" fontId="0" fillId="37" borderId="0" xfId="0" applyNumberFormat="1" applyFill="1" applyAlignment="1">
      <alignment horizontal="right"/>
    </xf>
    <xf numFmtId="2" fontId="0" fillId="37" borderId="0" xfId="0" applyNumberFormat="1" applyFont="1" applyFill="1"/>
    <xf numFmtId="0" fontId="0" fillId="37" borderId="0" xfId="0" applyNumberFormat="1" applyFill="1"/>
    <xf numFmtId="0" fontId="2" fillId="37" borderId="0" xfId="0" applyNumberFormat="1" applyFont="1" applyFill="1" applyAlignment="1">
      <alignment horizontal="center" wrapText="1"/>
    </xf>
    <xf numFmtId="2" fontId="2" fillId="37" borderId="0" xfId="0" applyNumberFormat="1" applyFont="1" applyFill="1" applyAlignment="1">
      <alignment horizontal="center" wrapText="1"/>
    </xf>
    <xf numFmtId="0" fontId="0" fillId="37" borderId="0" xfId="0" applyFill="1" applyAlignment="1">
      <alignment wrapText="1"/>
    </xf>
    <xf numFmtId="2" fontId="0" fillId="37" borderId="0" xfId="0" applyNumberFormat="1" applyFill="1" applyAlignment="1">
      <alignment horizontal="right"/>
    </xf>
    <xf numFmtId="0" fontId="5" fillId="37" borderId="0" xfId="0" applyFont="1" applyFill="1"/>
    <xf numFmtId="2" fontId="5" fillId="37" borderId="0" xfId="0" applyNumberFormat="1" applyFont="1" applyFill="1"/>
    <xf numFmtId="2" fontId="27" fillId="37" borderId="0" xfId="0" applyNumberFormat="1" applyFont="1" applyFill="1"/>
    <xf numFmtId="0" fontId="5" fillId="37" borderId="0" xfId="0" applyNumberFormat="1" applyFont="1" applyFill="1"/>
    <xf numFmtId="0" fontId="23" fillId="37" borderId="0" xfId="0" applyFont="1" applyFill="1"/>
    <xf numFmtId="2" fontId="23" fillId="37" borderId="0" xfId="0" applyNumberFormat="1" applyFont="1" applyFill="1"/>
    <xf numFmtId="0" fontId="23" fillId="37" borderId="0" xfId="0" applyNumberFormat="1" applyFont="1" applyFill="1"/>
    <xf numFmtId="0" fontId="0" fillId="38" borderId="0" xfId="0" applyFill="1"/>
    <xf numFmtId="2" fontId="0" fillId="38" borderId="0" xfId="0" applyNumberFormat="1" applyFill="1"/>
    <xf numFmtId="2" fontId="0" fillId="38" borderId="0" xfId="0" applyNumberFormat="1" applyFill="1" applyAlignment="1">
      <alignment horizontal="right"/>
    </xf>
    <xf numFmtId="2" fontId="5" fillId="38" borderId="0" xfId="0" applyNumberFormat="1" applyFont="1" applyFill="1" applyAlignment="1">
      <alignment horizontal="right"/>
    </xf>
    <xf numFmtId="0" fontId="0" fillId="38" borderId="0" xfId="0" applyNumberFormat="1" applyFill="1"/>
    <xf numFmtId="0" fontId="0" fillId="38" borderId="0" xfId="0" applyFill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8" fillId="3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51">
    <cellStyle name="20% - Ênfase1 2" xfId="7" xr:uid="{BA521BEF-CB4C-4607-B2ED-88EF8762B89A}"/>
    <cellStyle name="20% - Ênfase2 2" xfId="8" xr:uid="{5481CA57-8ACF-451B-9AA8-4936A5245F49}"/>
    <cellStyle name="20% - Ênfase3 2" xfId="9" xr:uid="{0CC4E8A2-1066-484C-9523-96F65826E919}"/>
    <cellStyle name="20% - Ênfase4 2" xfId="10" xr:uid="{99FE6B00-A2A0-4F79-A7BA-DAAE70CE2CDC}"/>
    <cellStyle name="20% - Ênfase5 2" xfId="11" xr:uid="{A763F7A2-1AF6-45C4-81EB-CE6DE8AD3703}"/>
    <cellStyle name="20% - Ênfase6 2" xfId="12" xr:uid="{F5C0E365-BAE7-4698-907D-E9F50F5C6B25}"/>
    <cellStyle name="40% - Ênfase1 2" xfId="13" xr:uid="{0B680D80-9BBD-4AE5-B0D1-9CF998515542}"/>
    <cellStyle name="40% - Ênfase2 2" xfId="14" xr:uid="{A25DC972-FD76-4654-9B62-296215E00AB8}"/>
    <cellStyle name="40% - Ênfase3 2" xfId="15" xr:uid="{AE8A6ABC-0CAE-410B-B826-D9A48CB495F7}"/>
    <cellStyle name="40% - Ênfase4 2" xfId="16" xr:uid="{B2904028-63DE-44FB-8E53-3CA80CBC8184}"/>
    <cellStyle name="40% - Ênfase5 2" xfId="17" xr:uid="{C03218DE-90F2-4FF0-88F6-943C84E46B26}"/>
    <cellStyle name="40% - Ênfase6 2" xfId="18" xr:uid="{A7E655C5-4434-49DA-AA97-E5821EA2F49B}"/>
    <cellStyle name="60% - Ênfase1 2" xfId="19" xr:uid="{02C73471-589A-4110-8598-77BA32D44E38}"/>
    <cellStyle name="60% - Ênfase2 2" xfId="20" xr:uid="{67D7DA42-E01E-45BD-BCA6-D3E5F1F489B8}"/>
    <cellStyle name="60% - Ênfase3 2" xfId="21" xr:uid="{01A3B4FC-34AE-4714-94CE-D4C106DD0752}"/>
    <cellStyle name="60% - Ênfase4 2" xfId="22" xr:uid="{51026C66-9A13-4D65-A235-C999C19CB155}"/>
    <cellStyle name="60% - Ênfase5 2" xfId="23" xr:uid="{19ACB9FE-07F4-42B2-AD05-7F5413848B10}"/>
    <cellStyle name="60% - Ênfase6 2" xfId="24" xr:uid="{38CCBE04-9E78-4560-B648-32CF1675498C}"/>
    <cellStyle name="Bom 2" xfId="25" xr:uid="{07CD6A31-63C4-42B8-B39F-B13DF692E7BD}"/>
    <cellStyle name="Cálculo 2" xfId="26" xr:uid="{7EFF9618-2079-44D7-B311-98FA2D34BE9F}"/>
    <cellStyle name="Célula de Verificação 2" xfId="27" xr:uid="{E02BD367-B806-4C83-A8B3-9A69608E11CF}"/>
    <cellStyle name="Célula Vinculada 2" xfId="28" xr:uid="{4646DB94-AFB9-4F02-B56C-D4D51D63D613}"/>
    <cellStyle name="Ênfase1 2" xfId="29" xr:uid="{2855E6F4-F6C4-4DC5-B1AF-881A8F24A2FF}"/>
    <cellStyle name="Ênfase2 2" xfId="30" xr:uid="{FE3D676B-BC4D-4C92-A057-9C5C15E5FE13}"/>
    <cellStyle name="Ênfase3 2" xfId="31" xr:uid="{E5345979-B0F6-4B9A-8A04-E607646346E2}"/>
    <cellStyle name="Ênfase4 2" xfId="32" xr:uid="{B88E0F5E-25E3-4648-A028-7574D06CFEA3}"/>
    <cellStyle name="Ênfase5 2" xfId="33" xr:uid="{BD52198F-57C4-4175-9B7E-8B5A2DAA0FE9}"/>
    <cellStyle name="Ênfase6 2" xfId="34" xr:uid="{8F48D94B-9020-407C-A4D6-B16D8A3ACB73}"/>
    <cellStyle name="Entrada 2" xfId="35" xr:uid="{CAA4A0A6-16CB-4C1A-9B1F-DBD5074CF529}"/>
    <cellStyle name="Incorreto 2" xfId="36" xr:uid="{BBB0B377-5237-4302-B81E-AC7C8670DBD8}"/>
    <cellStyle name="Neutra 2" xfId="37" xr:uid="{69F7EA53-448C-4384-A5B8-B63D0A87F497}"/>
    <cellStyle name="Normal" xfId="0" builtinId="0"/>
    <cellStyle name="Normal 2" xfId="4" xr:uid="{48D9961A-8E57-4FD7-8FCC-77AB75666727}"/>
    <cellStyle name="Normal 2 4" xfId="38" xr:uid="{A2027448-D226-46EB-81BC-EEF51A182A5C}"/>
    <cellStyle name="Normal 3" xfId="6" xr:uid="{01B3CA8F-B19C-4734-AF77-25D41117C8E8}"/>
    <cellStyle name="Normal 4" xfId="1" xr:uid="{1FF15EF0-B6AD-4E2A-8E9E-D8F23BEB4A71}"/>
    <cellStyle name="Nota 2" xfId="39" xr:uid="{6C35F370-80A1-4796-940E-F8F43AB2FD65}"/>
    <cellStyle name="Porcentagem 2" xfId="3" xr:uid="{F09F0CA0-FAC5-4391-B2A4-0465975F1AD1}"/>
    <cellStyle name="Saída 2" xfId="40" xr:uid="{263E8A2F-0588-405D-B65D-1FD363EFF6BF}"/>
    <cellStyle name="Texto de Aviso 2" xfId="41" xr:uid="{0EB531CE-8CEC-4451-A71B-4FCD6E9C78AD}"/>
    <cellStyle name="Texto Explicativo 2" xfId="42" xr:uid="{0A654478-A5B4-4857-A421-156D27CE0918}"/>
    <cellStyle name="Título 1 2" xfId="43" xr:uid="{62CDD67A-F578-4A89-BAD7-14A66141C413}"/>
    <cellStyle name="Título 2 2" xfId="44" xr:uid="{29AA90F9-644C-4971-85D4-8A2958A2AD7C}"/>
    <cellStyle name="Título 3 2" xfId="45" xr:uid="{0BEF6F2C-FB7E-4A3B-8BC0-4737F0423F2B}"/>
    <cellStyle name="Título 4 2" xfId="46" xr:uid="{4DF9C0C5-9CFE-44C9-B668-C41B4DD07CB4}"/>
    <cellStyle name="Título 5" xfId="5" xr:uid="{60C02624-7EB2-4C6F-9172-3E552ABC3906}"/>
    <cellStyle name="Total 2" xfId="47" xr:uid="{4B723A44-DBF9-438B-A3D7-266843BC9C36}"/>
    <cellStyle name="Vírgula 2" xfId="48" xr:uid="{DC69F05F-8CFB-48F3-A883-A2C9238D22A8}"/>
    <cellStyle name="Vírgula 3" xfId="49" xr:uid="{3816AB0C-43CC-4989-B25E-3127AFA85701}"/>
    <cellStyle name="Vírgula 3 2" xfId="50" xr:uid="{340C9BA3-8485-4DF1-9CA1-64F0BE35C24A}"/>
    <cellStyle name="Vírgula 4" xfId="2" xr:uid="{0F5DDD06-1924-4899-998D-A4BDABED9DFF}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606239</xdr:colOff>
      <xdr:row>0</xdr:row>
      <xdr:rowOff>237006</xdr:rowOff>
    </xdr:from>
    <xdr:to>
      <xdr:col>1</xdr:col>
      <xdr:colOff>319368</xdr:colOff>
      <xdr:row>0</xdr:row>
      <xdr:rowOff>836086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96DEFE-C0E6-4306-82B3-4193822D0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239" y="237006"/>
          <a:ext cx="1922929" cy="59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5E28-D3F8-4ED8-831C-BB9E16DD3D43}">
  <dimension ref="A1:L30"/>
  <sheetViews>
    <sheetView topLeftCell="A14" zoomScaleNormal="100" workbookViewId="0">
      <selection activeCell="G4" sqref="G4"/>
    </sheetView>
  </sheetViews>
  <sheetFormatPr defaultRowHeight="15" x14ac:dyDescent="0.25"/>
  <cols>
    <col min="1" max="1" width="33.140625" style="43" customWidth="1"/>
    <col min="2" max="2" width="18.85546875" bestFit="1" customWidth="1"/>
    <col min="3" max="3" width="20.85546875" customWidth="1"/>
    <col min="4" max="4" width="12.28515625" customWidth="1"/>
    <col min="5" max="5" width="13.5703125" customWidth="1"/>
  </cols>
  <sheetData>
    <row r="1" spans="1:12" ht="78" customHeight="1" x14ac:dyDescent="0.25">
      <c r="A1" s="66"/>
    </row>
    <row r="2" spans="1:12" ht="15.75" x14ac:dyDescent="0.25">
      <c r="A2" s="68" t="s">
        <v>214</v>
      </c>
      <c r="B2" s="68"/>
      <c r="C2" s="68"/>
      <c r="D2" s="68"/>
      <c r="E2" s="68"/>
      <c r="F2" s="71"/>
      <c r="G2" s="71"/>
      <c r="H2" s="71"/>
      <c r="I2" s="71"/>
      <c r="J2" s="71"/>
      <c r="K2" s="71"/>
      <c r="L2" s="71"/>
    </row>
    <row r="3" spans="1:12" ht="15.75" x14ac:dyDescent="0.25">
      <c r="A3" s="69" t="s">
        <v>215</v>
      </c>
      <c r="B3" s="69"/>
      <c r="C3" s="69"/>
      <c r="D3" s="69"/>
      <c r="E3" s="69"/>
      <c r="F3" s="70"/>
      <c r="G3" s="70"/>
      <c r="H3" s="70"/>
      <c r="I3" s="70"/>
      <c r="J3" s="70"/>
      <c r="K3" s="70"/>
      <c r="L3" s="70"/>
    </row>
    <row r="4" spans="1:12" x14ac:dyDescent="0.25">
      <c r="C4" s="1"/>
      <c r="D4" s="1"/>
      <c r="E4" s="1"/>
    </row>
    <row r="5" spans="1:12" ht="45" x14ac:dyDescent="0.25">
      <c r="A5" s="28" t="s">
        <v>195</v>
      </c>
      <c r="B5" s="28" t="s">
        <v>148</v>
      </c>
      <c r="C5" s="29" t="s">
        <v>69</v>
      </c>
      <c r="D5" s="29" t="s">
        <v>44</v>
      </c>
      <c r="E5" s="29" t="s">
        <v>45</v>
      </c>
    </row>
    <row r="6" spans="1:12" x14ac:dyDescent="0.25">
      <c r="A6" s="67" t="s">
        <v>197</v>
      </c>
      <c r="B6" s="13" t="s">
        <v>46</v>
      </c>
      <c r="C6" s="14">
        <f>(7+5.4+2.5+9+12.5+1.5+2.3+6.5)*2.7</f>
        <v>126.09</v>
      </c>
      <c r="D6" s="14">
        <f>(4*0.8*2.1)+(1.6*2.1)+(1.2*0.5)+(3.9*1)+(2.3*1)</f>
        <v>16.880000000000003</v>
      </c>
      <c r="E6" s="14">
        <f>C6-D6</f>
        <v>109.21000000000001</v>
      </c>
    </row>
    <row r="7" spans="1:12" x14ac:dyDescent="0.25">
      <c r="A7" s="67"/>
      <c r="B7" s="13" t="s">
        <v>47</v>
      </c>
      <c r="C7" s="14">
        <f>(13.3+20+14.8+10+3.8+6.9+12.8+3+3+13.3+2.2+6.7+4.8+4.8+4.8+9.4+9.4+1.5+2.5+2.5+2.5+4.3+1.5+1.5+0.7+3.8+4+4+14)*2.9</f>
        <v>538.82000000000005</v>
      </c>
      <c r="D7" s="14">
        <f>(4*2.3*1)+(8*1.9*1)+(4.2*2)+(4.3*2.1)+(12*0.8*2.1)+(0.7*2.1)+(2*0.9*2.1)+(1.4*2.1)+(0.9*2.1)</f>
        <v>72.069999999999993</v>
      </c>
      <c r="E7" s="14">
        <f t="shared" ref="E7:E9" si="0">C7-D7</f>
        <v>466.75000000000006</v>
      </c>
    </row>
    <row r="8" spans="1:12" x14ac:dyDescent="0.25">
      <c r="A8" s="67"/>
      <c r="B8" s="13" t="s">
        <v>48</v>
      </c>
      <c r="C8" s="14">
        <f>((6.7+16.9+1.88+3.6+3.6+6.7+1.7+3.6+3.6+1.7+5+5)*2.7)+((16.9+16.9+16.9+3.6+3.6)*3.95)+(1.7*2.1)+((7.1+7.1)*5.45)+((9.7+9.7)*5.45)+((12.15+12.15)*4.7)+((5.65+5.65)*3.95)</f>
        <v>736.18600000000004</v>
      </c>
      <c r="D8" s="14">
        <f>(2*2*2)+(2*0.8)+7.77+(8*0.8*2.1)+(2*0.9*2.1)+(0.8*2.1)+(2*1.9*2.1)+(6*1.25*3.6)+(2*1.25*3.1)+((1.2+1.05+1.3+1.05+1.2+1.2+1.4+1.2)*2.1)+(3.1*2.5)+(2*3.4*0.6)</f>
        <v>110.99</v>
      </c>
      <c r="E8" s="14">
        <f t="shared" si="0"/>
        <v>625.19600000000003</v>
      </c>
    </row>
    <row r="9" spans="1:12" x14ac:dyDescent="0.25">
      <c r="A9" s="67"/>
      <c r="B9" s="13" t="s">
        <v>49</v>
      </c>
      <c r="C9" s="14">
        <f>((3.6+3.6+6.7+3.1+6.7+16.9)*2.65)+((16.9+1.2)*1.1)</f>
        <v>127.49999999999997</v>
      </c>
      <c r="D9" s="14">
        <f>(2*2*2)+(3*0.8*2.1)+(0.8*2.1)</f>
        <v>14.72</v>
      </c>
      <c r="E9" s="14">
        <f t="shared" si="0"/>
        <v>112.77999999999997</v>
      </c>
    </row>
    <row r="10" spans="1:12" x14ac:dyDescent="0.25">
      <c r="A10" s="67"/>
      <c r="B10" s="13" t="s">
        <v>51</v>
      </c>
      <c r="C10" s="14">
        <f>((1.4+1.4+0.7+0.2)*1.7)+(3*1.1)+(23*2.8)+((11.55+5.35)*1.8)</f>
        <v>104.41</v>
      </c>
      <c r="D10" s="14">
        <v>0</v>
      </c>
      <c r="E10" s="14">
        <f>C10-D10</f>
        <v>104.41</v>
      </c>
    </row>
    <row r="11" spans="1:12" x14ac:dyDescent="0.25">
      <c r="A11" s="67"/>
      <c r="B11" s="13" t="s">
        <v>73</v>
      </c>
      <c r="C11" s="14">
        <f>((7.25+7.25+2.5+2.5)*2.9)+((2.5+6.95+6.95+2.5+20+20+13.3+13)*1)+(((5*16.9)+(2*30.7)+3.6+3.6+7.3)*1)</f>
        <v>302.14999999999998</v>
      </c>
      <c r="D11" s="14">
        <f>(2*0.6)+(1.1*0.6)</f>
        <v>1.8599999999999999</v>
      </c>
      <c r="E11" s="14">
        <f>C11-D11</f>
        <v>300.28999999999996</v>
      </c>
    </row>
    <row r="12" spans="1:12" x14ac:dyDescent="0.25">
      <c r="A12" s="26" t="s">
        <v>1</v>
      </c>
      <c r="B12" s="4"/>
      <c r="C12" s="5">
        <f>SUM(C6:C11)</f>
        <v>1935.1559999999999</v>
      </c>
      <c r="D12" s="5">
        <f>SUM(D6:D11)</f>
        <v>216.52</v>
      </c>
      <c r="E12" s="27">
        <f>SUM(E6:E11)</f>
        <v>1718.636</v>
      </c>
    </row>
    <row r="14" spans="1:12" x14ac:dyDescent="0.25">
      <c r="A14" s="67" t="s">
        <v>196</v>
      </c>
      <c r="B14" s="13" t="s">
        <v>46</v>
      </c>
      <c r="C14" s="14">
        <f>(14.5+12.5+5.3+1+6.15)*2.7</f>
        <v>106.515</v>
      </c>
      <c r="D14" s="14">
        <v>0</v>
      </c>
      <c r="E14" s="14">
        <f>C14-D14</f>
        <v>106.515</v>
      </c>
    </row>
    <row r="15" spans="1:12" x14ac:dyDescent="0.25">
      <c r="A15" s="67"/>
      <c r="B15" s="13" t="s">
        <v>74</v>
      </c>
      <c r="C15" s="14">
        <f>(17.3*1.5)+(2*9.7*1.5)+(2*12.15*1.7)+(2*8.45*1.1)+(17.3*0.9)</f>
        <v>130.52000000000001</v>
      </c>
      <c r="D15" s="14">
        <v>0</v>
      </c>
      <c r="E15" s="14">
        <f t="shared" ref="E15:E16" si="1">C15-D15</f>
        <v>130.52000000000001</v>
      </c>
    </row>
    <row r="16" spans="1:12" x14ac:dyDescent="0.25">
      <c r="A16" s="67"/>
      <c r="B16" s="13" t="s">
        <v>51</v>
      </c>
      <c r="C16" s="14">
        <f>(5.35+6.6)*1.8</f>
        <v>21.509999999999998</v>
      </c>
      <c r="D16" s="14">
        <v>0</v>
      </c>
      <c r="E16" s="14">
        <f t="shared" si="1"/>
        <v>21.509999999999998</v>
      </c>
    </row>
    <row r="17" spans="1:5" x14ac:dyDescent="0.25">
      <c r="A17" s="26" t="s">
        <v>1</v>
      </c>
      <c r="B17" s="4"/>
      <c r="C17" s="5">
        <f>SUM(C14:C16)</f>
        <v>258.54500000000002</v>
      </c>
      <c r="D17" s="5">
        <f>SUM(D14:D16)</f>
        <v>0</v>
      </c>
      <c r="E17" s="27">
        <f>SUM(E14:E16)</f>
        <v>258.54500000000002</v>
      </c>
    </row>
    <row r="19" spans="1:5" ht="45" x14ac:dyDescent="0.25">
      <c r="A19" s="43" t="s">
        <v>198</v>
      </c>
      <c r="B19" s="13" t="s">
        <v>51</v>
      </c>
      <c r="C19" s="14">
        <f>((5+5.9+3.8)*0.7)+(0.8*3.1)+(2*12.6*3.1)+(2*17.9*1.45)+(0.8*0.4)</f>
        <v>143.12</v>
      </c>
      <c r="D19" s="14">
        <v>0</v>
      </c>
      <c r="E19" s="14">
        <f t="shared" ref="E19" si="2">C19-D19</f>
        <v>143.12</v>
      </c>
    </row>
    <row r="20" spans="1:5" x14ac:dyDescent="0.25">
      <c r="A20" s="26" t="s">
        <v>1</v>
      </c>
      <c r="B20" s="4"/>
      <c r="C20" s="5">
        <f>SUM(C19:C19)</f>
        <v>143.12</v>
      </c>
      <c r="D20" s="5">
        <f>SUM(D19:D19)</f>
        <v>0</v>
      </c>
      <c r="E20" s="27">
        <f>SUM(E19:E19)</f>
        <v>143.12</v>
      </c>
    </row>
    <row r="22" spans="1:5" x14ac:dyDescent="0.25">
      <c r="A22" s="67" t="s">
        <v>199</v>
      </c>
      <c r="B22" s="13" t="s">
        <v>48</v>
      </c>
      <c r="C22" s="14">
        <f>(0.7*2.7)+(2*3.35*2.8)+(2*0.5*3.3)</f>
        <v>23.95</v>
      </c>
      <c r="D22" s="14">
        <v>0</v>
      </c>
      <c r="E22" s="14">
        <f t="shared" ref="E22:E23" si="3">C22-D22</f>
        <v>23.95</v>
      </c>
    </row>
    <row r="23" spans="1:5" ht="29.25" customHeight="1" x14ac:dyDescent="0.25">
      <c r="A23" s="67"/>
      <c r="B23" s="13" t="s">
        <v>49</v>
      </c>
      <c r="C23" s="14">
        <f>(1.4*2.65)</f>
        <v>3.7099999999999995</v>
      </c>
      <c r="D23" s="14">
        <v>0</v>
      </c>
      <c r="E23" s="14">
        <f t="shared" si="3"/>
        <v>3.7099999999999995</v>
      </c>
    </row>
    <row r="24" spans="1:5" x14ac:dyDescent="0.25">
      <c r="A24" s="26" t="s">
        <v>1</v>
      </c>
      <c r="B24" s="4"/>
      <c r="C24" s="5">
        <f>SUM(C22:C23)</f>
        <v>27.66</v>
      </c>
      <c r="D24" s="5">
        <f>SUM(D22:D23)</f>
        <v>0</v>
      </c>
      <c r="E24" s="27">
        <f>SUM(E22:E23)</f>
        <v>27.66</v>
      </c>
    </row>
    <row r="26" spans="1:5" ht="45" x14ac:dyDescent="0.25">
      <c r="A26" s="43" t="s">
        <v>200</v>
      </c>
      <c r="B26" s="13" t="s">
        <v>48</v>
      </c>
      <c r="C26" s="14">
        <f>((1.65+1.65+1.65+0.42+0.15+0.85+0.15+0.42)*2)+((1.65+0.35+0.15+0.35)*2)</f>
        <v>18.88</v>
      </c>
      <c r="D26" s="14">
        <v>0</v>
      </c>
      <c r="E26" s="14">
        <f t="shared" ref="E26" si="4">C26-D26</f>
        <v>18.88</v>
      </c>
    </row>
    <row r="27" spans="1:5" x14ac:dyDescent="0.25">
      <c r="A27" s="26" t="s">
        <v>1</v>
      </c>
      <c r="B27" s="4"/>
      <c r="C27" s="5">
        <f>SUM(C26:C26)</f>
        <v>18.88</v>
      </c>
      <c r="D27" s="5">
        <f>SUM(D26:D26)</f>
        <v>0</v>
      </c>
      <c r="E27" s="27">
        <f>SUM(E26:E26)</f>
        <v>18.88</v>
      </c>
    </row>
    <row r="29" spans="1:5" ht="30" x14ac:dyDescent="0.25">
      <c r="A29" s="43" t="s">
        <v>201</v>
      </c>
      <c r="B29" s="13" t="s">
        <v>48</v>
      </c>
      <c r="C29" s="14">
        <f>4*0.4*1.5</f>
        <v>2.4000000000000004</v>
      </c>
      <c r="D29" s="14">
        <v>0</v>
      </c>
      <c r="E29" s="14">
        <f t="shared" ref="E29" si="5">C29-D29</f>
        <v>2.4000000000000004</v>
      </c>
    </row>
    <row r="30" spans="1:5" x14ac:dyDescent="0.25">
      <c r="A30" s="26" t="s">
        <v>1</v>
      </c>
      <c r="B30" s="4"/>
      <c r="C30" s="5">
        <f>SUM(C29:C29)</f>
        <v>2.4000000000000004</v>
      </c>
      <c r="D30" s="5">
        <f>SUM(D29:D29)</f>
        <v>0</v>
      </c>
      <c r="E30" s="27">
        <f>SUM(E29:E29)</f>
        <v>2.4000000000000004</v>
      </c>
    </row>
  </sheetData>
  <mergeCells count="5">
    <mergeCell ref="A3:E3"/>
    <mergeCell ref="A2:E2"/>
    <mergeCell ref="A6:A11"/>
    <mergeCell ref="A14:A16"/>
    <mergeCell ref="A22:A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64E7C-72CD-421E-B720-DC91D9B22FC7}">
  <dimension ref="A2:Z78"/>
  <sheetViews>
    <sheetView topLeftCell="C1" zoomScaleNormal="100" workbookViewId="0">
      <pane ySplit="2" topLeftCell="A68" activePane="bottomLeft" state="frozen"/>
      <selection pane="bottomLeft" activeCell="H77" sqref="H77"/>
    </sheetView>
  </sheetViews>
  <sheetFormatPr defaultRowHeight="15" x14ac:dyDescent="0.25"/>
  <cols>
    <col min="1" max="1" width="18.85546875" bestFit="1" customWidth="1"/>
    <col min="2" max="2" width="31.28515625" bestFit="1" customWidth="1"/>
    <col min="3" max="3" width="10" style="1" bestFit="1" customWidth="1"/>
    <col min="4" max="4" width="11.42578125" style="1" customWidth="1"/>
    <col min="5" max="5" width="10" style="1" customWidth="1"/>
    <col min="6" max="6" width="13.85546875" style="1" customWidth="1"/>
    <col min="7" max="8" width="11.7109375" style="1" customWidth="1"/>
    <col min="9" max="10" width="10" style="1" customWidth="1"/>
    <col min="11" max="11" width="10.85546875" style="1" customWidth="1"/>
    <col min="12" max="13" width="15.5703125" style="1" customWidth="1"/>
    <col min="14" max="14" width="14.7109375" style="1" customWidth="1"/>
    <col min="15" max="16" width="14.7109375" customWidth="1"/>
    <col min="17" max="17" width="11.28515625" customWidth="1"/>
    <col min="18" max="18" width="10.85546875" customWidth="1"/>
    <col min="19" max="19" width="10" style="1" customWidth="1"/>
    <col min="20" max="20" width="9.140625" style="1"/>
    <col min="21" max="21" width="9.140625" style="8"/>
    <col min="22" max="22" width="9.140625" style="1"/>
    <col min="23" max="23" width="9.5703125" style="1" customWidth="1"/>
    <col min="24" max="24" width="9.140625" style="1"/>
    <col min="25" max="25" width="9.140625" style="8"/>
    <col min="26" max="26" width="9.140625" style="1"/>
  </cols>
  <sheetData>
    <row r="2" spans="1:26" s="28" customFormat="1" ht="60" customHeight="1" x14ac:dyDescent="0.25">
      <c r="A2" s="28" t="s">
        <v>148</v>
      </c>
      <c r="B2" s="28" t="s">
        <v>37</v>
      </c>
      <c r="C2" s="29" t="s">
        <v>38</v>
      </c>
      <c r="D2" s="29" t="s">
        <v>39</v>
      </c>
      <c r="E2" s="29" t="s">
        <v>40</v>
      </c>
      <c r="F2" s="29" t="s">
        <v>69</v>
      </c>
      <c r="G2" s="29" t="s">
        <v>44</v>
      </c>
      <c r="H2" s="29" t="s">
        <v>45</v>
      </c>
      <c r="I2" s="29" t="s">
        <v>75</v>
      </c>
      <c r="J2" s="29" t="s">
        <v>79</v>
      </c>
      <c r="K2" s="29" t="s">
        <v>80</v>
      </c>
      <c r="L2" s="29" t="s">
        <v>82</v>
      </c>
      <c r="M2" s="29" t="s">
        <v>81</v>
      </c>
      <c r="N2" s="29" t="s">
        <v>83</v>
      </c>
      <c r="O2" s="28" t="s">
        <v>84</v>
      </c>
      <c r="P2" s="28" t="s">
        <v>87</v>
      </c>
      <c r="Q2" s="28" t="s">
        <v>85</v>
      </c>
      <c r="R2" s="28" t="s">
        <v>86</v>
      </c>
      <c r="S2" s="29"/>
      <c r="T2" s="29"/>
      <c r="U2" s="30"/>
      <c r="V2" s="29"/>
      <c r="W2" s="29"/>
      <c r="X2" s="29"/>
      <c r="Y2" s="30"/>
      <c r="Z2" s="29"/>
    </row>
    <row r="3" spans="1:26" s="13" customFormat="1" x14ac:dyDescent="0.25">
      <c r="A3" s="13" t="s">
        <v>46</v>
      </c>
      <c r="B3" s="13" t="s">
        <v>2</v>
      </c>
      <c r="C3" s="14">
        <v>46.86</v>
      </c>
      <c r="D3" s="14">
        <v>31.65</v>
      </c>
      <c r="E3" s="14">
        <v>2.7</v>
      </c>
      <c r="F3" s="14">
        <f t="shared" ref="F3:F9" si="0">D3*E3</f>
        <v>85.454999999999998</v>
      </c>
      <c r="G3" s="15">
        <f>(0.8*2.1)+(3.9*1)</f>
        <v>5.58</v>
      </c>
      <c r="H3" s="14">
        <f>F3-G3</f>
        <v>79.875</v>
      </c>
      <c r="I3" s="14">
        <f>H3</f>
        <v>79.875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4">
        <f>H3-J3-K3</f>
        <v>79.875</v>
      </c>
      <c r="Q3" s="16">
        <v>0</v>
      </c>
      <c r="R3" s="16">
        <v>0</v>
      </c>
      <c r="S3" s="14"/>
      <c r="T3" s="14"/>
      <c r="U3" s="17"/>
      <c r="V3" s="14"/>
      <c r="W3" s="14"/>
      <c r="X3" s="14"/>
      <c r="Y3" s="14"/>
      <c r="Z3" s="14"/>
    </row>
    <row r="4" spans="1:26" s="13" customFormat="1" x14ac:dyDescent="0.25">
      <c r="A4" s="13" t="s">
        <v>46</v>
      </c>
      <c r="B4" s="13" t="s">
        <v>3</v>
      </c>
      <c r="C4" s="14">
        <v>12.87</v>
      </c>
      <c r="D4" s="14">
        <v>15.3</v>
      </c>
      <c r="E4" s="14">
        <v>2.7</v>
      </c>
      <c r="F4" s="14">
        <f t="shared" si="0"/>
        <v>41.31</v>
      </c>
      <c r="G4" s="14">
        <f>2*0.8*2.1</f>
        <v>3.3600000000000003</v>
      </c>
      <c r="H4" s="14">
        <f t="shared" ref="H4:H67" si="1">F4-G4</f>
        <v>37.950000000000003</v>
      </c>
      <c r="I4" s="14">
        <f t="shared" ref="I4:I58" si="2">H4</f>
        <v>37.950000000000003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4">
        <f t="shared" ref="P4:P58" si="3">H4-J4-K4</f>
        <v>37.950000000000003</v>
      </c>
      <c r="Q4" s="16">
        <v>0</v>
      </c>
      <c r="R4" s="16">
        <v>0</v>
      </c>
      <c r="S4" s="14"/>
      <c r="T4" s="14"/>
      <c r="U4" s="17"/>
      <c r="V4" s="14"/>
      <c r="W4" s="14"/>
      <c r="X4" s="14"/>
      <c r="Y4" s="14"/>
      <c r="Z4" s="14"/>
    </row>
    <row r="5" spans="1:26" s="13" customFormat="1" x14ac:dyDescent="0.25">
      <c r="A5" s="13" t="s">
        <v>46</v>
      </c>
      <c r="B5" s="13" t="s">
        <v>4</v>
      </c>
      <c r="C5" s="14">
        <v>34.770000000000003</v>
      </c>
      <c r="D5" s="14">
        <v>24.9</v>
      </c>
      <c r="E5" s="14">
        <v>2.7</v>
      </c>
      <c r="F5" s="14">
        <f t="shared" si="0"/>
        <v>67.23</v>
      </c>
      <c r="G5" s="14">
        <f>(0.8*2.1)+(1.6*2.1)+(2.3*1)+(0.9*2.1)</f>
        <v>9.23</v>
      </c>
      <c r="H5" s="14">
        <f t="shared" si="1"/>
        <v>58</v>
      </c>
      <c r="I5" s="14">
        <f t="shared" si="2"/>
        <v>58</v>
      </c>
      <c r="J5" s="16">
        <v>0</v>
      </c>
      <c r="K5" s="16">
        <v>6.48</v>
      </c>
      <c r="L5" s="16">
        <v>0</v>
      </c>
      <c r="M5" s="16">
        <f>K5</f>
        <v>6.48</v>
      </c>
      <c r="N5" s="16">
        <v>0</v>
      </c>
      <c r="O5" s="16">
        <v>0</v>
      </c>
      <c r="P5" s="14">
        <f t="shared" si="3"/>
        <v>51.519999999999996</v>
      </c>
      <c r="Q5" s="16">
        <v>0</v>
      </c>
      <c r="R5" s="16">
        <v>0</v>
      </c>
      <c r="T5" s="14"/>
      <c r="V5" s="14"/>
      <c r="W5" s="14"/>
      <c r="X5" s="14"/>
      <c r="Y5" s="14"/>
      <c r="Z5" s="14"/>
    </row>
    <row r="6" spans="1:26" s="13" customFormat="1" x14ac:dyDescent="0.25">
      <c r="A6" s="13" t="s">
        <v>46</v>
      </c>
      <c r="B6" s="13" t="s">
        <v>41</v>
      </c>
      <c r="C6" s="14">
        <v>3.15</v>
      </c>
      <c r="D6" s="14">
        <v>7.2</v>
      </c>
      <c r="E6" s="14">
        <v>2.7</v>
      </c>
      <c r="F6" s="14">
        <f t="shared" si="0"/>
        <v>19.440000000000001</v>
      </c>
      <c r="G6" s="14">
        <f>(0.8*2.1)+(1.2*0.5)</f>
        <v>2.2800000000000002</v>
      </c>
      <c r="H6" s="14">
        <f t="shared" si="1"/>
        <v>17.16</v>
      </c>
      <c r="I6" s="14">
        <f t="shared" si="2"/>
        <v>17.16</v>
      </c>
      <c r="J6" s="14">
        <v>5.82</v>
      </c>
      <c r="K6" s="16">
        <v>11.34</v>
      </c>
      <c r="L6" s="16">
        <f>J6</f>
        <v>5.82</v>
      </c>
      <c r="M6" s="16">
        <f>K6</f>
        <v>11.34</v>
      </c>
      <c r="N6" s="16">
        <v>0</v>
      </c>
      <c r="O6" s="16">
        <v>0</v>
      </c>
      <c r="P6" s="14">
        <f t="shared" si="3"/>
        <v>0</v>
      </c>
      <c r="Q6" s="16">
        <v>0</v>
      </c>
      <c r="R6" s="16">
        <v>0</v>
      </c>
      <c r="S6" s="14"/>
      <c r="V6" s="14"/>
      <c r="W6" s="14"/>
      <c r="X6" s="14"/>
      <c r="Y6" s="14"/>
      <c r="Z6" s="14"/>
    </row>
    <row r="7" spans="1:26" s="13" customFormat="1" x14ac:dyDescent="0.25">
      <c r="A7" s="13" t="s">
        <v>46</v>
      </c>
      <c r="B7" s="20" t="s">
        <v>5</v>
      </c>
      <c r="C7" s="14">
        <v>61.25</v>
      </c>
      <c r="D7" s="14">
        <v>34.799999999999997</v>
      </c>
      <c r="E7" s="14">
        <v>2.7</v>
      </c>
      <c r="F7" s="14">
        <f t="shared" si="0"/>
        <v>93.96</v>
      </c>
      <c r="G7" s="23">
        <f>0.9*2.1</f>
        <v>1.8900000000000001</v>
      </c>
      <c r="H7" s="14">
        <f t="shared" si="1"/>
        <v>92.07</v>
      </c>
      <c r="I7" s="14">
        <f t="shared" si="2"/>
        <v>92.07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4">
        <f t="shared" si="3"/>
        <v>92.07</v>
      </c>
      <c r="Q7" s="16">
        <v>0</v>
      </c>
      <c r="R7" s="16">
        <v>0</v>
      </c>
      <c r="V7" s="14"/>
      <c r="W7" s="14"/>
      <c r="X7" s="14"/>
      <c r="Y7" s="17"/>
      <c r="Z7" s="14"/>
    </row>
    <row r="8" spans="1:26" s="13" customFormat="1" x14ac:dyDescent="0.25">
      <c r="A8" s="13" t="s">
        <v>46</v>
      </c>
      <c r="B8" s="13" t="s">
        <v>6</v>
      </c>
      <c r="C8" s="14">
        <v>96.89</v>
      </c>
      <c r="D8" s="14">
        <v>16.399999999999999</v>
      </c>
      <c r="E8" s="14">
        <v>2.75</v>
      </c>
      <c r="F8" s="14">
        <f t="shared" si="0"/>
        <v>45.099999999999994</v>
      </c>
      <c r="G8" s="14">
        <f>(0.8*2.1)+(1.6*2.1)+(1.2*0.5)+(2.3*1)+(3.9*1)</f>
        <v>11.84</v>
      </c>
      <c r="H8" s="14">
        <f t="shared" si="1"/>
        <v>33.259999999999991</v>
      </c>
      <c r="I8" s="14">
        <f t="shared" si="2"/>
        <v>33.259999999999991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4">
        <f t="shared" si="3"/>
        <v>33.259999999999991</v>
      </c>
      <c r="Q8" s="16">
        <v>0</v>
      </c>
      <c r="R8" s="16">
        <v>0</v>
      </c>
      <c r="V8" s="14"/>
      <c r="W8" s="14"/>
      <c r="X8" s="14"/>
      <c r="Y8" s="17"/>
      <c r="Z8" s="14"/>
    </row>
    <row r="9" spans="1:26" s="13" customFormat="1" x14ac:dyDescent="0.25">
      <c r="A9" s="13" t="s">
        <v>46</v>
      </c>
      <c r="B9" s="13" t="s">
        <v>55</v>
      </c>
      <c r="C9" s="14">
        <v>0</v>
      </c>
      <c r="D9" s="14">
        <v>34</v>
      </c>
      <c r="E9" s="14">
        <v>1.8</v>
      </c>
      <c r="F9" s="14">
        <f t="shared" si="0"/>
        <v>61.2</v>
      </c>
      <c r="G9" s="14">
        <v>0</v>
      </c>
      <c r="H9" s="14">
        <f t="shared" si="1"/>
        <v>61.2</v>
      </c>
      <c r="I9" s="14">
        <f t="shared" si="2"/>
        <v>61.2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4">
        <f t="shared" si="3"/>
        <v>61.2</v>
      </c>
      <c r="Q9" s="16">
        <v>0</v>
      </c>
      <c r="R9" s="16">
        <v>0</v>
      </c>
      <c r="V9" s="14"/>
      <c r="W9" s="14"/>
      <c r="X9" s="14"/>
      <c r="Y9" s="17"/>
      <c r="Z9" s="14"/>
    </row>
    <row r="10" spans="1:26" s="13" customFormat="1" x14ac:dyDescent="0.25">
      <c r="C10" s="14"/>
      <c r="D10" s="14"/>
      <c r="E10" s="14"/>
      <c r="F10" s="14"/>
      <c r="G10" s="14"/>
      <c r="H10" s="14"/>
      <c r="I10" s="14"/>
      <c r="J10" s="16"/>
      <c r="K10" s="16"/>
      <c r="L10" s="16"/>
      <c r="M10" s="16"/>
      <c r="N10" s="16"/>
      <c r="O10" s="16"/>
      <c r="P10" s="14"/>
      <c r="Q10" s="16"/>
      <c r="R10" s="16"/>
      <c r="V10" s="14"/>
      <c r="W10" s="14"/>
      <c r="X10" s="14"/>
      <c r="Y10" s="17"/>
      <c r="Z10" s="14"/>
    </row>
    <row r="11" spans="1:26" s="13" customFormat="1" x14ac:dyDescent="0.25">
      <c r="A11" s="13" t="s">
        <v>47</v>
      </c>
      <c r="B11" s="13" t="s">
        <v>7</v>
      </c>
      <c r="C11" s="14">
        <v>22.25</v>
      </c>
      <c r="D11" s="14">
        <v>11.1</v>
      </c>
      <c r="E11" s="14">
        <v>2.9</v>
      </c>
      <c r="F11" s="14">
        <f t="shared" ref="F11:F32" si="4">D11*E11</f>
        <v>32.19</v>
      </c>
      <c r="G11" s="14">
        <f>0.9*2.1</f>
        <v>1.8900000000000001</v>
      </c>
      <c r="H11" s="14">
        <f t="shared" si="1"/>
        <v>30.299999999999997</v>
      </c>
      <c r="I11" s="14">
        <f t="shared" si="2"/>
        <v>30.299999999999997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4">
        <f t="shared" si="3"/>
        <v>30.299999999999997</v>
      </c>
      <c r="Q11" s="16">
        <v>0</v>
      </c>
      <c r="R11" s="16">
        <v>0</v>
      </c>
      <c r="V11" s="14"/>
      <c r="W11" s="14"/>
      <c r="X11" s="14"/>
      <c r="Y11" s="17"/>
      <c r="Z11" s="14"/>
    </row>
    <row r="12" spans="1:26" s="13" customFormat="1" x14ac:dyDescent="0.25">
      <c r="A12" s="13" t="s">
        <v>47</v>
      </c>
      <c r="B12" s="13" t="s">
        <v>8</v>
      </c>
      <c r="C12" s="14">
        <v>22.67</v>
      </c>
      <c r="D12" s="14">
        <v>19.899999999999999</v>
      </c>
      <c r="E12" s="14">
        <v>2.9</v>
      </c>
      <c r="F12" s="14">
        <f t="shared" si="4"/>
        <v>57.709999999999994</v>
      </c>
      <c r="G12" s="14">
        <f>(0.9*2.1)+(4.2*2)</f>
        <v>10.290000000000001</v>
      </c>
      <c r="H12" s="14">
        <f t="shared" si="1"/>
        <v>47.419999999999995</v>
      </c>
      <c r="I12" s="14">
        <f t="shared" si="2"/>
        <v>47.419999999999995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4">
        <f t="shared" si="3"/>
        <v>47.419999999999995</v>
      </c>
      <c r="Q12" s="16">
        <v>0</v>
      </c>
      <c r="R12" s="16">
        <v>0</v>
      </c>
      <c r="V12" s="14"/>
      <c r="W12" s="14"/>
      <c r="X12" s="14"/>
      <c r="Y12" s="17"/>
      <c r="Z12" s="14"/>
    </row>
    <row r="13" spans="1:26" s="13" customFormat="1" x14ac:dyDescent="0.25">
      <c r="A13" s="13" t="s">
        <v>47</v>
      </c>
      <c r="B13" s="13" t="s">
        <v>9</v>
      </c>
      <c r="C13" s="14">
        <v>3.01</v>
      </c>
      <c r="D13" s="14">
        <v>6.8</v>
      </c>
      <c r="E13" s="14">
        <v>2.9</v>
      </c>
      <c r="F13" s="14">
        <f t="shared" si="4"/>
        <v>19.72</v>
      </c>
      <c r="G13" s="14">
        <f>(0.9*2.1)+(1.4*2.1)</f>
        <v>4.83</v>
      </c>
      <c r="H13" s="14">
        <f t="shared" si="1"/>
        <v>14.889999999999999</v>
      </c>
      <c r="I13" s="14">
        <f t="shared" si="2"/>
        <v>14.889999999999999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4">
        <f t="shared" si="3"/>
        <v>14.889999999999999</v>
      </c>
      <c r="Q13" s="16">
        <v>0</v>
      </c>
      <c r="R13" s="16">
        <v>0</v>
      </c>
      <c r="V13" s="14"/>
      <c r="W13" s="14"/>
      <c r="X13" s="14"/>
      <c r="Y13" s="17"/>
      <c r="Z13" s="14"/>
    </row>
    <row r="14" spans="1:26" s="13" customFormat="1" x14ac:dyDescent="0.25">
      <c r="A14" s="13" t="s">
        <v>47</v>
      </c>
      <c r="B14" s="13" t="s">
        <v>10</v>
      </c>
      <c r="C14" s="14">
        <v>3.3</v>
      </c>
      <c r="D14" s="14">
        <v>7.4</v>
      </c>
      <c r="E14" s="14">
        <v>3.7</v>
      </c>
      <c r="F14" s="14">
        <f t="shared" si="4"/>
        <v>27.380000000000003</v>
      </c>
      <c r="G14" s="14">
        <f>(0.9*2.1)+(2*0.6)</f>
        <v>3.09</v>
      </c>
      <c r="H14" s="14">
        <f t="shared" si="1"/>
        <v>24.290000000000003</v>
      </c>
      <c r="I14" s="14">
        <f t="shared" si="2"/>
        <v>24.290000000000003</v>
      </c>
      <c r="J14" s="14">
        <v>11.88</v>
      </c>
      <c r="K14" s="16">
        <v>0</v>
      </c>
      <c r="L14" s="16">
        <v>0</v>
      </c>
      <c r="M14" s="16">
        <v>0</v>
      </c>
      <c r="N14" s="16">
        <f>(D14-0.8)*1.8</f>
        <v>11.88</v>
      </c>
      <c r="O14" s="16">
        <v>0</v>
      </c>
      <c r="P14" s="14">
        <f t="shared" si="3"/>
        <v>12.410000000000002</v>
      </c>
      <c r="Q14" s="16">
        <v>0</v>
      </c>
      <c r="R14" s="16">
        <v>0</v>
      </c>
      <c r="S14" s="14"/>
      <c r="V14" s="14"/>
      <c r="W14" s="14"/>
      <c r="X14" s="14"/>
      <c r="Y14" s="17"/>
      <c r="Z14" s="14"/>
    </row>
    <row r="15" spans="1:26" s="13" customFormat="1" x14ac:dyDescent="0.25">
      <c r="A15" s="13" t="s">
        <v>47</v>
      </c>
      <c r="B15" s="13" t="s">
        <v>11</v>
      </c>
      <c r="C15" s="14">
        <v>8.69</v>
      </c>
      <c r="D15" s="14">
        <v>8.5</v>
      </c>
      <c r="E15" s="14">
        <v>2.9</v>
      </c>
      <c r="F15" s="14">
        <f t="shared" si="4"/>
        <v>24.65</v>
      </c>
      <c r="G15" s="14">
        <f>2*0.8*2.1</f>
        <v>3.3600000000000003</v>
      </c>
      <c r="H15" s="14">
        <f t="shared" si="1"/>
        <v>21.29</v>
      </c>
      <c r="I15" s="14">
        <f t="shared" si="2"/>
        <v>21.29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4">
        <f t="shared" si="3"/>
        <v>21.29</v>
      </c>
      <c r="Q15" s="16">
        <v>0</v>
      </c>
      <c r="R15" s="16">
        <v>0</v>
      </c>
      <c r="V15" s="14"/>
      <c r="W15" s="14"/>
      <c r="X15" s="14"/>
      <c r="Y15" s="17"/>
      <c r="Z15" s="14"/>
    </row>
    <row r="16" spans="1:26" s="13" customFormat="1" x14ac:dyDescent="0.25">
      <c r="A16" s="13" t="s">
        <v>47</v>
      </c>
      <c r="B16" s="13" t="s">
        <v>12</v>
      </c>
      <c r="C16" s="14">
        <v>11.2</v>
      </c>
      <c r="D16" s="14">
        <v>13.6</v>
      </c>
      <c r="E16" s="14">
        <v>2.9</v>
      </c>
      <c r="F16" s="14">
        <f t="shared" si="4"/>
        <v>39.44</v>
      </c>
      <c r="G16" s="14">
        <f>(0.8*2.1)+(1.9*1)</f>
        <v>3.58</v>
      </c>
      <c r="H16" s="14">
        <f t="shared" si="1"/>
        <v>35.86</v>
      </c>
      <c r="I16" s="14">
        <f t="shared" si="2"/>
        <v>35.86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4">
        <f t="shared" si="3"/>
        <v>35.86</v>
      </c>
      <c r="Q16" s="16">
        <v>0</v>
      </c>
      <c r="R16" s="16">
        <v>0</v>
      </c>
      <c r="V16" s="14"/>
      <c r="W16" s="14"/>
      <c r="X16" s="14"/>
      <c r="Y16" s="17"/>
      <c r="Z16" s="14"/>
    </row>
    <row r="17" spans="1:26" s="13" customFormat="1" x14ac:dyDescent="0.25">
      <c r="A17" s="13" t="s">
        <v>47</v>
      </c>
      <c r="B17" s="13" t="s">
        <v>13</v>
      </c>
      <c r="C17" s="14">
        <v>19.600000000000001</v>
      </c>
      <c r="D17" s="14">
        <v>17.8</v>
      </c>
      <c r="E17" s="14">
        <v>2.9</v>
      </c>
      <c r="F17" s="14">
        <f t="shared" si="4"/>
        <v>51.62</v>
      </c>
      <c r="G17" s="14">
        <f>(0.8*2.1)+(2.3*1)</f>
        <v>3.98</v>
      </c>
      <c r="H17" s="14">
        <f t="shared" si="1"/>
        <v>47.64</v>
      </c>
      <c r="I17" s="14">
        <f t="shared" si="2"/>
        <v>47.64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4">
        <f t="shared" si="3"/>
        <v>47.64</v>
      </c>
      <c r="Q17" s="16">
        <v>0</v>
      </c>
      <c r="R17" s="16">
        <v>0</v>
      </c>
      <c r="V17" s="14"/>
      <c r="W17" s="14"/>
      <c r="X17" s="14"/>
      <c r="Y17" s="17"/>
      <c r="Z17" s="14"/>
    </row>
    <row r="18" spans="1:26" s="13" customFormat="1" x14ac:dyDescent="0.25">
      <c r="A18" s="13" t="s">
        <v>47</v>
      </c>
      <c r="B18" s="13" t="s">
        <v>14</v>
      </c>
      <c r="C18" s="14">
        <v>4.88</v>
      </c>
      <c r="D18" s="14">
        <v>8.9</v>
      </c>
      <c r="E18" s="14">
        <v>2.9</v>
      </c>
      <c r="F18" s="14">
        <f t="shared" si="4"/>
        <v>25.81</v>
      </c>
      <c r="G18" s="14">
        <f>0.8*2.1</f>
        <v>1.6800000000000002</v>
      </c>
      <c r="H18" s="14">
        <f t="shared" si="1"/>
        <v>24.13</v>
      </c>
      <c r="I18" s="14">
        <f t="shared" si="2"/>
        <v>24.13</v>
      </c>
      <c r="J18" s="14">
        <v>3.98</v>
      </c>
      <c r="K18" s="16">
        <v>20.149999999999999</v>
      </c>
      <c r="L18" s="16">
        <f>J18</f>
        <v>3.98</v>
      </c>
      <c r="M18" s="16">
        <f>K18</f>
        <v>20.149999999999999</v>
      </c>
      <c r="N18" s="16">
        <v>0</v>
      </c>
      <c r="O18" s="16">
        <v>0</v>
      </c>
      <c r="P18" s="14">
        <f t="shared" si="3"/>
        <v>0</v>
      </c>
      <c r="Q18" s="16">
        <v>0</v>
      </c>
      <c r="R18" s="16">
        <v>0</v>
      </c>
      <c r="S18" s="14"/>
      <c r="V18" s="14"/>
      <c r="W18" s="14"/>
      <c r="X18" s="14"/>
      <c r="Y18" s="17"/>
      <c r="Z18" s="14"/>
    </row>
    <row r="19" spans="1:26" s="13" customFormat="1" x14ac:dyDescent="0.25">
      <c r="A19" s="13" t="s">
        <v>47</v>
      </c>
      <c r="B19" s="13" t="s">
        <v>15</v>
      </c>
      <c r="C19" s="14">
        <v>1.82</v>
      </c>
      <c r="D19" s="14">
        <v>5</v>
      </c>
      <c r="E19" s="14">
        <v>4</v>
      </c>
      <c r="F19" s="14">
        <f t="shared" si="4"/>
        <v>20</v>
      </c>
      <c r="G19" s="14">
        <f>(0.7*2.1)+(0.9*2.1)</f>
        <v>3.3600000000000003</v>
      </c>
      <c r="H19" s="14">
        <f t="shared" si="1"/>
        <v>16.64</v>
      </c>
      <c r="I19" s="14">
        <f t="shared" si="2"/>
        <v>16.64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4">
        <f t="shared" si="3"/>
        <v>16.64</v>
      </c>
      <c r="Q19" s="16">
        <v>0</v>
      </c>
      <c r="R19" s="16">
        <v>0</v>
      </c>
      <c r="V19" s="14"/>
      <c r="W19" s="14"/>
      <c r="X19" s="14"/>
      <c r="Y19" s="17"/>
      <c r="Z19" s="14"/>
    </row>
    <row r="20" spans="1:26" s="13" customFormat="1" x14ac:dyDescent="0.25">
      <c r="A20" s="13" t="s">
        <v>47</v>
      </c>
      <c r="B20" s="13" t="s">
        <v>41</v>
      </c>
      <c r="C20" s="14">
        <v>1.95</v>
      </c>
      <c r="D20" s="14">
        <v>5.6</v>
      </c>
      <c r="E20" s="14">
        <v>4</v>
      </c>
      <c r="F20" s="14">
        <f t="shared" si="4"/>
        <v>22.4</v>
      </c>
      <c r="G20" s="14">
        <f>(0.7*2.1)+(1.1*0.6)</f>
        <v>2.13</v>
      </c>
      <c r="H20" s="14">
        <f t="shared" si="1"/>
        <v>20.27</v>
      </c>
      <c r="I20" s="14">
        <f t="shared" si="2"/>
        <v>20.27</v>
      </c>
      <c r="J20" s="16">
        <v>0</v>
      </c>
      <c r="K20" s="16">
        <v>8.82</v>
      </c>
      <c r="L20" s="16">
        <v>0</v>
      </c>
      <c r="M20" s="16">
        <v>0</v>
      </c>
      <c r="N20" s="16">
        <v>0</v>
      </c>
      <c r="O20" s="14">
        <f>K20</f>
        <v>8.82</v>
      </c>
      <c r="P20" s="14">
        <f t="shared" si="3"/>
        <v>11.45</v>
      </c>
      <c r="Q20" s="16">
        <v>0</v>
      </c>
      <c r="R20" s="16">
        <v>0</v>
      </c>
      <c r="T20" s="14"/>
      <c r="V20" s="14"/>
      <c r="W20" s="14"/>
      <c r="X20" s="14"/>
      <c r="Y20" s="17"/>
      <c r="Z20" s="14"/>
    </row>
    <row r="21" spans="1:26" s="13" customFormat="1" x14ac:dyDescent="0.25">
      <c r="A21" s="13" t="s">
        <v>47</v>
      </c>
      <c r="B21" s="13" t="s">
        <v>16</v>
      </c>
      <c r="C21" s="14">
        <v>13.92</v>
      </c>
      <c r="D21" s="14">
        <v>15.4</v>
      </c>
      <c r="E21" s="14">
        <v>2.9</v>
      </c>
      <c r="F21" s="14">
        <f t="shared" si="4"/>
        <v>44.66</v>
      </c>
      <c r="G21" s="14">
        <f>(0.8*2.1)+(1.9*1)</f>
        <v>3.58</v>
      </c>
      <c r="H21" s="14">
        <f t="shared" si="1"/>
        <v>41.08</v>
      </c>
      <c r="I21" s="14">
        <f t="shared" si="2"/>
        <v>41.08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4">
        <f t="shared" si="3"/>
        <v>41.08</v>
      </c>
      <c r="Q21" s="16">
        <v>0</v>
      </c>
      <c r="R21" s="16">
        <v>0</v>
      </c>
      <c r="V21" s="14"/>
      <c r="W21" s="14"/>
      <c r="X21" s="14"/>
      <c r="Y21" s="17"/>
      <c r="Z21" s="14"/>
    </row>
    <row r="22" spans="1:26" s="13" customFormat="1" x14ac:dyDescent="0.25">
      <c r="A22" s="13" t="s">
        <v>47</v>
      </c>
      <c r="B22" s="13" t="s">
        <v>17</v>
      </c>
      <c r="C22" s="14">
        <v>13.68</v>
      </c>
      <c r="D22" s="14">
        <v>15.3</v>
      </c>
      <c r="E22" s="14">
        <v>2.9</v>
      </c>
      <c r="F22" s="14">
        <f t="shared" si="4"/>
        <v>44.37</v>
      </c>
      <c r="G22" s="14">
        <f>(0.8*2.1)+(1.9*1)</f>
        <v>3.58</v>
      </c>
      <c r="H22" s="14">
        <f t="shared" si="1"/>
        <v>40.79</v>
      </c>
      <c r="I22" s="14">
        <f t="shared" si="2"/>
        <v>40.79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4">
        <f t="shared" si="3"/>
        <v>40.79</v>
      </c>
      <c r="Q22" s="16">
        <v>0</v>
      </c>
      <c r="R22" s="16">
        <v>0</v>
      </c>
      <c r="V22" s="14"/>
      <c r="W22" s="14"/>
      <c r="X22" s="14"/>
      <c r="Y22" s="17"/>
      <c r="Z22" s="14"/>
    </row>
    <row r="23" spans="1:26" s="13" customFormat="1" x14ac:dyDescent="0.25">
      <c r="A23" s="13" t="s">
        <v>47</v>
      </c>
      <c r="B23" s="13" t="s">
        <v>18</v>
      </c>
      <c r="C23" s="14">
        <v>13.68</v>
      </c>
      <c r="D23" s="14">
        <v>15.3</v>
      </c>
      <c r="E23" s="14">
        <v>2.9</v>
      </c>
      <c r="F23" s="14">
        <f t="shared" si="4"/>
        <v>44.37</v>
      </c>
      <c r="G23" s="14">
        <f>(0.8*2.1)+(1.9*1)</f>
        <v>3.58</v>
      </c>
      <c r="H23" s="14">
        <f t="shared" si="1"/>
        <v>40.79</v>
      </c>
      <c r="I23" s="14">
        <f t="shared" si="2"/>
        <v>40.79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4">
        <f t="shared" si="3"/>
        <v>40.79</v>
      </c>
      <c r="Q23" s="16">
        <v>0</v>
      </c>
      <c r="R23" s="16">
        <v>0</v>
      </c>
      <c r="V23" s="14"/>
      <c r="W23" s="14"/>
      <c r="X23" s="14"/>
      <c r="Y23" s="17"/>
      <c r="Z23" s="14"/>
    </row>
    <row r="24" spans="1:26" s="13" customFormat="1" x14ac:dyDescent="0.25">
      <c r="A24" s="13" t="s">
        <v>47</v>
      </c>
      <c r="B24" s="13" t="s">
        <v>19</v>
      </c>
      <c r="C24" s="14">
        <v>17.64</v>
      </c>
      <c r="D24" s="14">
        <v>20.2</v>
      </c>
      <c r="E24" s="14">
        <v>2.9</v>
      </c>
      <c r="F24" s="14">
        <f t="shared" si="4"/>
        <v>58.58</v>
      </c>
      <c r="G24" s="14">
        <f>(6*0.8*2.1)+(0.9*2.1)+(1.4*2.1)</f>
        <v>14.910000000000002</v>
      </c>
      <c r="H24" s="14">
        <f t="shared" si="1"/>
        <v>43.669999999999995</v>
      </c>
      <c r="I24" s="14">
        <f t="shared" si="2"/>
        <v>43.669999999999995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4">
        <f t="shared" si="3"/>
        <v>43.669999999999995</v>
      </c>
      <c r="Q24" s="16">
        <v>0</v>
      </c>
      <c r="R24" s="16">
        <v>0</v>
      </c>
      <c r="V24" s="14"/>
      <c r="W24" s="14"/>
      <c r="X24" s="14"/>
      <c r="Y24" s="17"/>
      <c r="Z24" s="14"/>
    </row>
    <row r="25" spans="1:26" s="13" customFormat="1" x14ac:dyDescent="0.25">
      <c r="A25" s="13" t="s">
        <v>47</v>
      </c>
      <c r="B25" s="13" t="s">
        <v>3</v>
      </c>
      <c r="C25" s="14">
        <v>11.25</v>
      </c>
      <c r="D25" s="14">
        <v>14</v>
      </c>
      <c r="E25" s="14">
        <v>2.9</v>
      </c>
      <c r="F25" s="14">
        <f t="shared" si="4"/>
        <v>40.6</v>
      </c>
      <c r="G25" s="14">
        <f>0.8*2.1</f>
        <v>1.6800000000000002</v>
      </c>
      <c r="H25" s="14">
        <f t="shared" si="1"/>
        <v>38.92</v>
      </c>
      <c r="I25" s="14">
        <f t="shared" si="2"/>
        <v>38.92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4">
        <f t="shared" si="3"/>
        <v>38.92</v>
      </c>
      <c r="Q25" s="16">
        <v>0</v>
      </c>
      <c r="R25" s="16">
        <v>0</v>
      </c>
      <c r="V25" s="14"/>
      <c r="W25" s="14"/>
      <c r="X25" s="14"/>
      <c r="Y25" s="17"/>
      <c r="Z25" s="14"/>
    </row>
    <row r="26" spans="1:26" s="13" customFormat="1" x14ac:dyDescent="0.25">
      <c r="A26" s="13" t="s">
        <v>47</v>
      </c>
      <c r="B26" s="13" t="s">
        <v>20</v>
      </c>
      <c r="C26" s="14">
        <v>11</v>
      </c>
      <c r="D26" s="14">
        <v>12.2</v>
      </c>
      <c r="E26" s="14">
        <v>2.9</v>
      </c>
      <c r="F26" s="14">
        <f t="shared" si="4"/>
        <v>35.379999999999995</v>
      </c>
      <c r="G26" s="14">
        <f>(0.8*2.1)+(1.9*1)</f>
        <v>3.58</v>
      </c>
      <c r="H26" s="14">
        <f t="shared" si="1"/>
        <v>31.799999999999997</v>
      </c>
      <c r="I26" s="14">
        <f t="shared" si="2"/>
        <v>31.799999999999997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4">
        <f t="shared" si="3"/>
        <v>31.799999999999997</v>
      </c>
      <c r="Q26" s="16">
        <v>0</v>
      </c>
      <c r="R26" s="16">
        <v>0</v>
      </c>
      <c r="V26" s="14"/>
      <c r="W26" s="14"/>
      <c r="X26" s="14"/>
      <c r="Y26" s="17"/>
      <c r="Z26" s="14"/>
    </row>
    <row r="27" spans="1:26" s="13" customFormat="1" x14ac:dyDescent="0.25">
      <c r="A27" s="13" t="s">
        <v>47</v>
      </c>
      <c r="B27" s="13" t="s">
        <v>21</v>
      </c>
      <c r="C27" s="14">
        <v>10.46</v>
      </c>
      <c r="D27" s="14">
        <v>11.5</v>
      </c>
      <c r="E27" s="14">
        <v>2.9</v>
      </c>
      <c r="F27" s="14">
        <f t="shared" si="4"/>
        <v>33.35</v>
      </c>
      <c r="G27" s="14">
        <f>3*0.8*2.1</f>
        <v>5.0400000000000009</v>
      </c>
      <c r="H27" s="14">
        <f t="shared" si="1"/>
        <v>28.310000000000002</v>
      </c>
      <c r="I27" s="14">
        <f t="shared" si="2"/>
        <v>28.310000000000002</v>
      </c>
      <c r="J27" s="16">
        <v>2.25</v>
      </c>
      <c r="K27" s="16">
        <v>0</v>
      </c>
      <c r="L27" s="16">
        <v>0</v>
      </c>
      <c r="M27" s="16">
        <v>0</v>
      </c>
      <c r="N27" s="16">
        <f>2.5*0.9</f>
        <v>2.25</v>
      </c>
      <c r="O27" s="16">
        <v>0</v>
      </c>
      <c r="P27" s="14">
        <f t="shared" si="3"/>
        <v>26.060000000000002</v>
      </c>
      <c r="Q27" s="16">
        <v>0</v>
      </c>
      <c r="R27" s="16">
        <v>0</v>
      </c>
      <c r="T27" s="14"/>
      <c r="V27" s="14"/>
      <c r="W27" s="14"/>
      <c r="X27" s="14"/>
      <c r="Y27" s="17"/>
      <c r="Z27" s="14"/>
    </row>
    <row r="28" spans="1:26" s="13" customFormat="1" x14ac:dyDescent="0.25">
      <c r="A28" s="13" t="s">
        <v>47</v>
      </c>
      <c r="B28" s="13" t="s">
        <v>22</v>
      </c>
      <c r="C28" s="14">
        <v>14.4</v>
      </c>
      <c r="D28" s="14">
        <v>15.6</v>
      </c>
      <c r="E28" s="14">
        <v>2.9</v>
      </c>
      <c r="F28" s="14">
        <f t="shared" si="4"/>
        <v>45.239999999999995</v>
      </c>
      <c r="G28" s="14">
        <f>(0.8*2.1)+(2.3*1)</f>
        <v>3.98</v>
      </c>
      <c r="H28" s="14">
        <f t="shared" si="1"/>
        <v>41.26</v>
      </c>
      <c r="I28" s="14">
        <f t="shared" si="2"/>
        <v>41.26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4">
        <f t="shared" si="3"/>
        <v>41.26</v>
      </c>
      <c r="Q28" s="16">
        <v>0</v>
      </c>
      <c r="R28" s="16">
        <v>0</v>
      </c>
      <c r="V28" s="14"/>
      <c r="W28" s="14"/>
      <c r="X28" s="14"/>
      <c r="Y28" s="17"/>
      <c r="Z28" s="14"/>
    </row>
    <row r="29" spans="1:26" s="13" customFormat="1" x14ac:dyDescent="0.25">
      <c r="A29" s="13" t="s">
        <v>47</v>
      </c>
      <c r="B29" s="13" t="s">
        <v>23</v>
      </c>
      <c r="C29" s="14">
        <v>12.3</v>
      </c>
      <c r="D29" s="14">
        <v>14.2</v>
      </c>
      <c r="E29" s="14">
        <v>2.9</v>
      </c>
      <c r="F29" s="14">
        <f t="shared" si="4"/>
        <v>41.18</v>
      </c>
      <c r="G29" s="14">
        <f t="shared" ref="G29:G30" si="5">(0.8*2.1)+(2.3*1)</f>
        <v>3.98</v>
      </c>
      <c r="H29" s="14">
        <f t="shared" si="1"/>
        <v>37.200000000000003</v>
      </c>
      <c r="I29" s="14">
        <f t="shared" si="2"/>
        <v>37.200000000000003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4">
        <f t="shared" si="3"/>
        <v>37.200000000000003</v>
      </c>
      <c r="Q29" s="16">
        <v>0</v>
      </c>
      <c r="R29" s="16">
        <v>0</v>
      </c>
      <c r="V29" s="14"/>
      <c r="W29" s="14"/>
      <c r="X29" s="14"/>
      <c r="Y29" s="17"/>
      <c r="Z29" s="14"/>
    </row>
    <row r="30" spans="1:26" s="13" customFormat="1" x14ac:dyDescent="0.25">
      <c r="A30" s="13" t="s">
        <v>47</v>
      </c>
      <c r="B30" s="13" t="s">
        <v>24</v>
      </c>
      <c r="C30" s="14">
        <v>12</v>
      </c>
      <c r="D30" s="14">
        <v>14</v>
      </c>
      <c r="E30" s="14">
        <v>2.9</v>
      </c>
      <c r="F30" s="14">
        <f t="shared" si="4"/>
        <v>40.6</v>
      </c>
      <c r="G30" s="14">
        <f t="shared" si="5"/>
        <v>3.98</v>
      </c>
      <c r="H30" s="14">
        <f t="shared" si="1"/>
        <v>36.620000000000005</v>
      </c>
      <c r="I30" s="14">
        <f t="shared" si="2"/>
        <v>36.620000000000005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4">
        <f t="shared" si="3"/>
        <v>36.620000000000005</v>
      </c>
      <c r="Q30" s="16">
        <v>0</v>
      </c>
      <c r="R30" s="16">
        <v>0</v>
      </c>
      <c r="V30" s="14"/>
      <c r="W30" s="14"/>
      <c r="X30" s="14"/>
      <c r="Y30" s="17"/>
      <c r="Z30" s="14"/>
    </row>
    <row r="31" spans="1:26" s="13" customFormat="1" x14ac:dyDescent="0.25">
      <c r="A31" s="13" t="s">
        <v>47</v>
      </c>
      <c r="B31" s="13" t="s">
        <v>25</v>
      </c>
      <c r="C31" s="14">
        <v>5.94</v>
      </c>
      <c r="D31" s="14">
        <v>9.8000000000000007</v>
      </c>
      <c r="E31" s="14">
        <v>2.9</v>
      </c>
      <c r="F31" s="14">
        <f t="shared" si="4"/>
        <v>28.42</v>
      </c>
      <c r="G31" s="14">
        <f>(0.8*2.1)+(1.9*1)</f>
        <v>3.58</v>
      </c>
      <c r="H31" s="14">
        <f t="shared" si="1"/>
        <v>24.840000000000003</v>
      </c>
      <c r="I31" s="14">
        <f t="shared" si="2"/>
        <v>24.840000000000003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4">
        <f t="shared" si="3"/>
        <v>24.840000000000003</v>
      </c>
      <c r="Q31" s="16">
        <v>0</v>
      </c>
      <c r="R31" s="16">
        <v>0</v>
      </c>
      <c r="V31" s="14"/>
      <c r="W31" s="14"/>
      <c r="X31" s="14"/>
      <c r="Y31" s="17"/>
      <c r="Z31" s="14"/>
    </row>
    <row r="32" spans="1:26" s="13" customFormat="1" x14ac:dyDescent="0.25">
      <c r="A32" s="13" t="s">
        <v>47</v>
      </c>
      <c r="B32" s="13" t="s">
        <v>26</v>
      </c>
      <c r="C32" s="14">
        <v>23.6</v>
      </c>
      <c r="D32" s="14">
        <v>19.8</v>
      </c>
      <c r="E32" s="14">
        <v>2.9</v>
      </c>
      <c r="F32" s="14">
        <f t="shared" si="4"/>
        <v>57.42</v>
      </c>
      <c r="G32" s="14">
        <f>(0.8*2.1)+(2*1.9*1)</f>
        <v>5.48</v>
      </c>
      <c r="H32" s="14">
        <f t="shared" si="1"/>
        <v>51.94</v>
      </c>
      <c r="I32" s="14">
        <f t="shared" si="2"/>
        <v>51.94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4">
        <f t="shared" si="3"/>
        <v>51.94</v>
      </c>
      <c r="Q32" s="16">
        <v>0</v>
      </c>
      <c r="R32" s="16">
        <v>0</v>
      </c>
      <c r="V32" s="14"/>
      <c r="W32" s="14"/>
      <c r="X32" s="14"/>
      <c r="Y32" s="17"/>
      <c r="Z32" s="14"/>
    </row>
    <row r="33" spans="1:26" s="13" customFormat="1" x14ac:dyDescent="0.25">
      <c r="C33" s="14"/>
      <c r="D33" s="14"/>
      <c r="E33" s="14"/>
      <c r="F33" s="14"/>
      <c r="G33" s="14"/>
      <c r="H33" s="14"/>
      <c r="I33" s="14"/>
      <c r="J33" s="14"/>
      <c r="K33" s="16"/>
      <c r="L33" s="16"/>
      <c r="M33" s="16"/>
      <c r="N33" s="16"/>
      <c r="O33" s="16"/>
      <c r="P33" s="14"/>
      <c r="Q33" s="16"/>
      <c r="R33" s="16"/>
      <c r="V33" s="14"/>
      <c r="W33" s="14"/>
      <c r="X33" s="14"/>
      <c r="Y33" s="17"/>
      <c r="Z33" s="14"/>
    </row>
    <row r="34" spans="1:26" s="13" customFormat="1" x14ac:dyDescent="0.25">
      <c r="A34" s="13" t="s">
        <v>48</v>
      </c>
      <c r="B34" s="13" t="s">
        <v>42</v>
      </c>
      <c r="C34" s="14">
        <v>47.32</v>
      </c>
      <c r="D34" s="14">
        <v>16.899999999999999</v>
      </c>
      <c r="E34" s="14">
        <v>3.95</v>
      </c>
      <c r="F34" s="14">
        <f t="shared" ref="F34:F42" si="6">D34*E34</f>
        <v>66.754999999999995</v>
      </c>
      <c r="G34" s="14">
        <f>(3.1*2.5)</f>
        <v>7.75</v>
      </c>
      <c r="H34" s="14">
        <f t="shared" si="1"/>
        <v>59.004999999999995</v>
      </c>
      <c r="I34" s="14">
        <f t="shared" si="2"/>
        <v>59.004999999999995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4">
        <f t="shared" si="3"/>
        <v>59.004999999999995</v>
      </c>
      <c r="Q34" s="16">
        <v>0</v>
      </c>
      <c r="R34" s="16">
        <v>0</v>
      </c>
      <c r="V34" s="14"/>
      <c r="W34" s="14"/>
      <c r="X34" s="14"/>
      <c r="Y34" s="17"/>
      <c r="Z34" s="14"/>
    </row>
    <row r="35" spans="1:26" s="13" customFormat="1" x14ac:dyDescent="0.25">
      <c r="A35" s="13" t="s">
        <v>48</v>
      </c>
      <c r="B35" s="13" t="s">
        <v>43</v>
      </c>
      <c r="C35" s="14">
        <v>11.78</v>
      </c>
      <c r="D35" s="14">
        <v>10.7</v>
      </c>
      <c r="E35" s="14">
        <v>2.7</v>
      </c>
      <c r="F35" s="14">
        <f t="shared" si="6"/>
        <v>28.89</v>
      </c>
      <c r="G35" s="14">
        <f>(1.9*2.1)+(2*1.2*2.1)</f>
        <v>9.0299999999999994</v>
      </c>
      <c r="H35" s="14">
        <f t="shared" si="1"/>
        <v>19.86</v>
      </c>
      <c r="I35" s="14">
        <f t="shared" si="2"/>
        <v>19.86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4">
        <f t="shared" si="3"/>
        <v>19.86</v>
      </c>
      <c r="Q35" s="16">
        <v>0</v>
      </c>
      <c r="R35" s="16">
        <v>0</v>
      </c>
      <c r="V35" s="14"/>
      <c r="W35" s="14"/>
      <c r="X35" s="14"/>
      <c r="Y35" s="17"/>
      <c r="Z35" s="14"/>
    </row>
    <row r="36" spans="1:26" s="13" customFormat="1" x14ac:dyDescent="0.25">
      <c r="A36" s="13" t="s">
        <v>48</v>
      </c>
      <c r="B36" s="13" t="s">
        <v>19</v>
      </c>
      <c r="C36" s="14">
        <v>2.2799999999999998</v>
      </c>
      <c r="D36" s="14">
        <v>5.8</v>
      </c>
      <c r="E36" s="14">
        <v>2.7</v>
      </c>
      <c r="F36" s="14">
        <f t="shared" si="6"/>
        <v>15.66</v>
      </c>
      <c r="G36" s="14">
        <f>(2*0.8*2.1)+(1.2*2.1)</f>
        <v>5.8800000000000008</v>
      </c>
      <c r="H36" s="14">
        <f t="shared" si="1"/>
        <v>9.7799999999999994</v>
      </c>
      <c r="I36" s="14">
        <f t="shared" si="2"/>
        <v>9.7799999999999994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4">
        <f t="shared" si="3"/>
        <v>9.7799999999999994</v>
      </c>
      <c r="Q36" s="16">
        <v>0</v>
      </c>
      <c r="R36" s="16">
        <v>0</v>
      </c>
      <c r="V36" s="14"/>
      <c r="W36" s="14"/>
      <c r="X36" s="14"/>
      <c r="Y36" s="17"/>
      <c r="Z36" s="14"/>
    </row>
    <row r="37" spans="1:26" s="13" customFormat="1" x14ac:dyDescent="0.25">
      <c r="A37" s="13" t="s">
        <v>48</v>
      </c>
      <c r="B37" s="13" t="s">
        <v>27</v>
      </c>
      <c r="C37" s="14">
        <v>17.28</v>
      </c>
      <c r="D37" s="14">
        <v>16.8</v>
      </c>
      <c r="E37" s="14">
        <v>3.95</v>
      </c>
      <c r="F37" s="14">
        <f t="shared" si="6"/>
        <v>66.36</v>
      </c>
      <c r="G37" s="14">
        <f>(0.8*2.1)+(3.4*0.6)</f>
        <v>3.72</v>
      </c>
      <c r="H37" s="14">
        <f t="shared" si="1"/>
        <v>62.64</v>
      </c>
      <c r="I37" s="14">
        <f t="shared" si="2"/>
        <v>62.64</v>
      </c>
      <c r="J37" s="16">
        <v>0</v>
      </c>
      <c r="K37" s="16">
        <v>28.8</v>
      </c>
      <c r="L37" s="16">
        <v>0</v>
      </c>
      <c r="M37" s="16">
        <v>0</v>
      </c>
      <c r="N37" s="16">
        <v>0</v>
      </c>
      <c r="O37" s="14">
        <v>28.8</v>
      </c>
      <c r="P37" s="14">
        <f t="shared" si="3"/>
        <v>33.840000000000003</v>
      </c>
      <c r="Q37" s="16">
        <v>0</v>
      </c>
      <c r="R37" s="16">
        <v>0</v>
      </c>
      <c r="T37" s="14"/>
      <c r="V37" s="14"/>
      <c r="W37" s="14"/>
      <c r="X37" s="14"/>
      <c r="Y37" s="17"/>
      <c r="Z37" s="14"/>
    </row>
    <row r="38" spans="1:26" s="13" customFormat="1" x14ac:dyDescent="0.25">
      <c r="A38" s="13" t="s">
        <v>48</v>
      </c>
      <c r="B38" s="13" t="s">
        <v>28</v>
      </c>
      <c r="C38" s="14">
        <v>3.74</v>
      </c>
      <c r="D38" s="14">
        <v>7.8</v>
      </c>
      <c r="E38" s="14">
        <v>2.7</v>
      </c>
      <c r="F38" s="14">
        <f t="shared" si="6"/>
        <v>21.060000000000002</v>
      </c>
      <c r="G38" s="14">
        <f>0.8*2.1</f>
        <v>1.6800000000000002</v>
      </c>
      <c r="H38" s="14">
        <f t="shared" si="1"/>
        <v>19.380000000000003</v>
      </c>
      <c r="I38" s="14">
        <f t="shared" si="2"/>
        <v>19.380000000000003</v>
      </c>
      <c r="J38" s="14">
        <v>1.98</v>
      </c>
      <c r="K38" s="16">
        <v>0</v>
      </c>
      <c r="L38" s="16">
        <v>0</v>
      </c>
      <c r="M38" s="16">
        <v>0</v>
      </c>
      <c r="N38" s="16">
        <f>2.2*0.9</f>
        <v>1.9800000000000002</v>
      </c>
      <c r="O38" s="16">
        <v>0</v>
      </c>
      <c r="P38" s="14">
        <f t="shared" si="3"/>
        <v>17.400000000000002</v>
      </c>
      <c r="Q38" s="16">
        <v>0</v>
      </c>
      <c r="R38" s="16">
        <v>0</v>
      </c>
      <c r="S38" s="14"/>
      <c r="V38" s="14"/>
      <c r="W38" s="14"/>
      <c r="X38" s="14"/>
      <c r="Y38" s="17"/>
      <c r="Z38" s="14"/>
    </row>
    <row r="39" spans="1:26" s="13" customFormat="1" x14ac:dyDescent="0.25">
      <c r="A39" s="13" t="s">
        <v>48</v>
      </c>
      <c r="B39" s="13" t="s">
        <v>19</v>
      </c>
      <c r="C39" s="14">
        <v>2.2799999999999998</v>
      </c>
      <c r="D39" s="14">
        <v>5.8</v>
      </c>
      <c r="E39" s="14">
        <v>2.7</v>
      </c>
      <c r="F39" s="14">
        <f t="shared" si="6"/>
        <v>15.66</v>
      </c>
      <c r="G39" s="14">
        <f>(0.9*2.1)+(0.8*2.1)+(1.2*2.1)</f>
        <v>6.09</v>
      </c>
      <c r="H39" s="14">
        <f t="shared" si="1"/>
        <v>9.57</v>
      </c>
      <c r="I39" s="14">
        <f t="shared" si="2"/>
        <v>9.57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4">
        <f t="shared" si="3"/>
        <v>9.57</v>
      </c>
      <c r="Q39" s="16">
        <v>0</v>
      </c>
      <c r="R39" s="16">
        <v>0</v>
      </c>
      <c r="V39" s="14"/>
      <c r="W39" s="14"/>
      <c r="X39" s="14"/>
      <c r="Y39" s="17"/>
      <c r="Z39" s="14"/>
    </row>
    <row r="40" spans="1:26" s="13" customFormat="1" x14ac:dyDescent="0.25">
      <c r="A40" s="13" t="s">
        <v>48</v>
      </c>
      <c r="B40" s="13" t="s">
        <v>10</v>
      </c>
      <c r="C40" s="14">
        <v>3.74</v>
      </c>
      <c r="D40" s="14">
        <v>7.8</v>
      </c>
      <c r="E40" s="14">
        <v>2.7</v>
      </c>
      <c r="F40" s="14">
        <f t="shared" si="6"/>
        <v>21.060000000000002</v>
      </c>
      <c r="G40" s="14">
        <f>0.9*2.1</f>
        <v>1.8900000000000001</v>
      </c>
      <c r="H40" s="14">
        <f t="shared" si="1"/>
        <v>19.170000000000002</v>
      </c>
      <c r="I40" s="14">
        <f t="shared" si="2"/>
        <v>19.170000000000002</v>
      </c>
      <c r="J40" s="14">
        <v>7.29</v>
      </c>
      <c r="K40" s="16">
        <v>11.88</v>
      </c>
      <c r="L40" s="16">
        <f>J40</f>
        <v>7.29</v>
      </c>
      <c r="M40" s="16">
        <f>K40</f>
        <v>11.88</v>
      </c>
      <c r="N40" s="16">
        <v>0</v>
      </c>
      <c r="O40" s="16">
        <v>0</v>
      </c>
      <c r="P40" s="14">
        <f t="shared" si="3"/>
        <v>0</v>
      </c>
      <c r="Q40" s="16">
        <v>0</v>
      </c>
      <c r="R40" s="16">
        <v>0</v>
      </c>
      <c r="S40" s="14"/>
      <c r="V40" s="14"/>
      <c r="W40" s="14"/>
      <c r="X40" s="14"/>
      <c r="Y40" s="17"/>
      <c r="Z40" s="14"/>
    </row>
    <row r="41" spans="1:26" s="13" customFormat="1" x14ac:dyDescent="0.25">
      <c r="A41" s="13" t="s">
        <v>48</v>
      </c>
      <c r="B41" s="13" t="s">
        <v>29</v>
      </c>
      <c r="C41" s="14">
        <v>17.28</v>
      </c>
      <c r="D41" s="14">
        <v>16.8</v>
      </c>
      <c r="E41" s="14">
        <v>3.95</v>
      </c>
      <c r="F41" s="14">
        <f>(D41*E41)+(3.6*1.8)</f>
        <v>72.84</v>
      </c>
      <c r="G41" s="14">
        <f>(0.8*2.1)+(3.4*0.6)</f>
        <v>3.72</v>
      </c>
      <c r="H41" s="14">
        <f t="shared" si="1"/>
        <v>69.12</v>
      </c>
      <c r="I41" s="14">
        <f t="shared" si="2"/>
        <v>69.12</v>
      </c>
      <c r="J41" s="14">
        <v>6.48</v>
      </c>
      <c r="K41" s="16">
        <v>28.8</v>
      </c>
      <c r="L41" s="16">
        <v>0</v>
      </c>
      <c r="M41" s="16">
        <v>0</v>
      </c>
      <c r="N41" s="16">
        <f>J41</f>
        <v>6.48</v>
      </c>
      <c r="O41" s="14">
        <f>K41</f>
        <v>28.8</v>
      </c>
      <c r="P41" s="14">
        <f t="shared" si="3"/>
        <v>33.840000000000003</v>
      </c>
      <c r="Q41" s="16">
        <v>0</v>
      </c>
      <c r="R41" s="16">
        <v>0</v>
      </c>
      <c r="S41" s="14"/>
      <c r="V41" s="14"/>
      <c r="W41" s="14"/>
      <c r="X41" s="14"/>
      <c r="Y41" s="17"/>
      <c r="Z41" s="14"/>
    </row>
    <row r="42" spans="1:26" s="20" customFormat="1" x14ac:dyDescent="0.25">
      <c r="A42" s="20" t="s">
        <v>48</v>
      </c>
      <c r="B42" s="20" t="s">
        <v>19</v>
      </c>
      <c r="C42" s="23">
        <v>25.66</v>
      </c>
      <c r="D42" s="23">
        <v>36.700000000000003</v>
      </c>
      <c r="E42" s="23">
        <v>4.05</v>
      </c>
      <c r="F42" s="23">
        <f t="shared" si="6"/>
        <v>148.63499999999999</v>
      </c>
      <c r="G42" s="23">
        <f>(1.9*2.1)+(2*1.25*3.1)</f>
        <v>11.74</v>
      </c>
      <c r="H42" s="23">
        <f t="shared" si="1"/>
        <v>136.89499999999998</v>
      </c>
      <c r="I42" s="14">
        <f t="shared" si="2"/>
        <v>136.89499999999998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4">
        <f t="shared" si="3"/>
        <v>136.89499999999998</v>
      </c>
      <c r="Q42" s="16">
        <v>0</v>
      </c>
      <c r="R42" s="16">
        <v>0</v>
      </c>
      <c r="V42" s="23"/>
      <c r="W42" s="23"/>
      <c r="X42" s="23"/>
      <c r="Y42" s="25"/>
      <c r="Z42" s="23"/>
    </row>
    <row r="43" spans="1:26" s="19" customFormat="1" x14ac:dyDescent="0.25">
      <c r="A43" s="20" t="s">
        <v>48</v>
      </c>
      <c r="B43" s="20" t="s">
        <v>30</v>
      </c>
      <c r="C43" s="23">
        <v>205.33</v>
      </c>
      <c r="D43" s="23">
        <v>41.2</v>
      </c>
      <c r="E43" s="23" t="s">
        <v>57</v>
      </c>
      <c r="F43" s="23">
        <f>(16.9*4.05)+(2*64.18)</f>
        <v>196.80500000000001</v>
      </c>
      <c r="G43" s="23">
        <f>(2*1.2*2.1)+(2*1.05*2.1)+(1.3*2.1)+(4*1.25*3.6)</f>
        <v>30.18</v>
      </c>
      <c r="H43" s="23">
        <f t="shared" si="1"/>
        <v>166.625</v>
      </c>
      <c r="I43" s="14">
        <f t="shared" si="2"/>
        <v>166.625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4">
        <f t="shared" si="3"/>
        <v>166.625</v>
      </c>
      <c r="Q43" s="16">
        <v>0</v>
      </c>
      <c r="R43" s="16">
        <v>0</v>
      </c>
      <c r="V43" s="18"/>
      <c r="W43" s="18"/>
      <c r="X43" s="18"/>
      <c r="Y43" s="22"/>
      <c r="Z43" s="18"/>
    </row>
    <row r="44" spans="1:26" s="13" customFormat="1" x14ac:dyDescent="0.25">
      <c r="A44" s="13" t="s">
        <v>48</v>
      </c>
      <c r="B44" s="13" t="s">
        <v>31</v>
      </c>
      <c r="C44" s="14">
        <v>76.05</v>
      </c>
      <c r="D44" s="14">
        <v>25.9</v>
      </c>
      <c r="E44" s="14">
        <v>5.55</v>
      </c>
      <c r="F44" s="14">
        <f>D44*E44</f>
        <v>143.74499999999998</v>
      </c>
      <c r="G44" s="14">
        <f>(1.9*2.1)+(0.8*2.1)+(2*1.25*3.6)+(16.9*1.25)</f>
        <v>35.795000000000002</v>
      </c>
      <c r="H44" s="14">
        <f t="shared" si="1"/>
        <v>107.94999999999997</v>
      </c>
      <c r="I44" s="14">
        <f t="shared" si="2"/>
        <v>107.94999999999997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4">
        <f t="shared" si="3"/>
        <v>107.94999999999997</v>
      </c>
      <c r="Q44" s="16">
        <v>0</v>
      </c>
      <c r="R44" s="16">
        <v>0</v>
      </c>
      <c r="V44" s="14"/>
      <c r="W44" s="14"/>
      <c r="X44" s="14"/>
      <c r="Y44" s="17"/>
      <c r="Z44" s="14"/>
    </row>
    <row r="45" spans="1:26" s="13" customFormat="1" x14ac:dyDescent="0.25">
      <c r="A45" s="13" t="s">
        <v>48</v>
      </c>
      <c r="B45" s="13" t="s">
        <v>32</v>
      </c>
      <c r="C45" s="14">
        <v>8.06</v>
      </c>
      <c r="D45" s="14">
        <v>8.3000000000000007</v>
      </c>
      <c r="E45" s="14">
        <v>2.7</v>
      </c>
      <c r="F45" s="14">
        <f>D45*E45</f>
        <v>22.410000000000004</v>
      </c>
      <c r="G45" s="14">
        <f>(3*0.8*2.1)+(1.9*2.1)</f>
        <v>9.0300000000000011</v>
      </c>
      <c r="H45" s="14">
        <f t="shared" si="1"/>
        <v>13.380000000000003</v>
      </c>
      <c r="I45" s="14">
        <f t="shared" si="2"/>
        <v>13.380000000000003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4">
        <f t="shared" si="3"/>
        <v>13.380000000000003</v>
      </c>
      <c r="Q45" s="16">
        <v>0</v>
      </c>
      <c r="R45" s="16">
        <v>0</v>
      </c>
      <c r="V45" s="14"/>
      <c r="W45" s="14"/>
      <c r="X45" s="14"/>
      <c r="Y45" s="17"/>
      <c r="Z45" s="14"/>
    </row>
    <row r="46" spans="1:26" s="13" customFormat="1" x14ac:dyDescent="0.25">
      <c r="A46" s="13" t="s">
        <v>48</v>
      </c>
      <c r="B46" s="20" t="s">
        <v>21</v>
      </c>
      <c r="C46" s="14">
        <v>25.34</v>
      </c>
      <c r="D46" s="14">
        <v>22</v>
      </c>
      <c r="E46" s="14">
        <v>2.7</v>
      </c>
      <c r="F46" s="14">
        <f>D46*E46</f>
        <v>59.400000000000006</v>
      </c>
      <c r="G46" s="14">
        <f>(0.8*2.1)+(2*2)+6.72</f>
        <v>12.399999999999999</v>
      </c>
      <c r="H46" s="14">
        <f t="shared" si="1"/>
        <v>47.000000000000007</v>
      </c>
      <c r="I46" s="14">
        <f t="shared" si="2"/>
        <v>47.000000000000007</v>
      </c>
      <c r="J46" s="14">
        <v>2.25</v>
      </c>
      <c r="K46" s="16">
        <v>6.48</v>
      </c>
      <c r="L46" s="16">
        <f>J46</f>
        <v>2.25</v>
      </c>
      <c r="M46" s="16">
        <f>K46</f>
        <v>6.48</v>
      </c>
      <c r="N46" s="16">
        <v>0</v>
      </c>
      <c r="O46" s="24">
        <v>0</v>
      </c>
      <c r="P46" s="14">
        <f t="shared" si="3"/>
        <v>38.27000000000001</v>
      </c>
      <c r="Q46" s="16">
        <v>0</v>
      </c>
      <c r="R46" s="16">
        <v>0</v>
      </c>
      <c r="S46" s="14"/>
      <c r="T46" s="14"/>
      <c r="V46" s="14"/>
      <c r="W46" s="14"/>
      <c r="X46" s="14"/>
      <c r="Y46" s="17"/>
      <c r="Z46" s="14"/>
    </row>
    <row r="47" spans="1:26" s="13" customFormat="1" x14ac:dyDescent="0.25">
      <c r="A47" s="13" t="s">
        <v>48</v>
      </c>
      <c r="B47" s="20" t="s">
        <v>3</v>
      </c>
      <c r="C47" s="14">
        <v>8.0399999999999991</v>
      </c>
      <c r="D47" s="14">
        <v>15.8</v>
      </c>
      <c r="E47" s="14" t="s">
        <v>57</v>
      </c>
      <c r="F47" s="14">
        <f>(2*10.07)+(1.2*2.7)</f>
        <v>23.380000000000003</v>
      </c>
      <c r="G47" s="14">
        <f>0.8*2.1</f>
        <v>1.6800000000000002</v>
      </c>
      <c r="H47" s="14">
        <f t="shared" si="1"/>
        <v>21.700000000000003</v>
      </c>
      <c r="I47" s="14">
        <f t="shared" si="2"/>
        <v>21.700000000000003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24">
        <v>0</v>
      </c>
      <c r="P47" s="14">
        <f t="shared" si="3"/>
        <v>21.700000000000003</v>
      </c>
      <c r="Q47" s="16">
        <v>0</v>
      </c>
      <c r="R47" s="16">
        <v>0</v>
      </c>
      <c r="V47" s="14"/>
      <c r="W47" s="14"/>
      <c r="X47" s="14"/>
      <c r="Y47" s="17"/>
      <c r="Z47" s="14"/>
    </row>
    <row r="48" spans="1:26" s="13" customFormat="1" x14ac:dyDescent="0.25">
      <c r="A48" s="13" t="s">
        <v>48</v>
      </c>
      <c r="B48" s="13" t="s">
        <v>19</v>
      </c>
      <c r="C48" s="14">
        <v>8.0399999999999991</v>
      </c>
      <c r="D48" s="14">
        <v>15.8</v>
      </c>
      <c r="E48" s="14">
        <v>2.7</v>
      </c>
      <c r="F48" s="14">
        <f>D48*E48</f>
        <v>42.660000000000004</v>
      </c>
      <c r="G48" s="14">
        <f>(3*0.8*2.1)+(0.9*2.1)+(1.4*2.1)</f>
        <v>9.870000000000001</v>
      </c>
      <c r="H48" s="14">
        <f t="shared" si="1"/>
        <v>32.790000000000006</v>
      </c>
      <c r="I48" s="14">
        <f t="shared" si="2"/>
        <v>32.790000000000006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24">
        <v>0</v>
      </c>
      <c r="P48" s="14">
        <f t="shared" si="3"/>
        <v>32.790000000000006</v>
      </c>
      <c r="Q48" s="16">
        <v>0</v>
      </c>
      <c r="R48" s="16">
        <v>0</v>
      </c>
      <c r="V48" s="14"/>
      <c r="W48" s="14"/>
      <c r="X48" s="14"/>
      <c r="Y48" s="17"/>
      <c r="Z48" s="14"/>
    </row>
    <row r="49" spans="1:26" s="13" customFormat="1" x14ac:dyDescent="0.25">
      <c r="A49" s="13" t="s">
        <v>48</v>
      </c>
      <c r="B49" s="13" t="s">
        <v>15</v>
      </c>
      <c r="C49" s="14">
        <v>2.2799999999999998</v>
      </c>
      <c r="D49" s="14">
        <v>6.2</v>
      </c>
      <c r="E49" s="14">
        <v>2.7</v>
      </c>
      <c r="F49" s="14">
        <f>D49*E49</f>
        <v>16.740000000000002</v>
      </c>
      <c r="G49" s="14">
        <f>(0.9*2.1)+(1.4*2.1)</f>
        <v>4.83</v>
      </c>
      <c r="H49" s="14">
        <f t="shared" si="1"/>
        <v>11.910000000000002</v>
      </c>
      <c r="I49" s="14">
        <f t="shared" si="2"/>
        <v>11.910000000000002</v>
      </c>
      <c r="J49" s="16">
        <f>1.2*2.7</f>
        <v>3.24</v>
      </c>
      <c r="K49" s="16">
        <v>0</v>
      </c>
      <c r="L49" s="16">
        <f>J49</f>
        <v>3.24</v>
      </c>
      <c r="M49" s="16">
        <v>0</v>
      </c>
      <c r="N49" s="16">
        <v>0</v>
      </c>
      <c r="O49" s="24">
        <v>0</v>
      </c>
      <c r="P49" s="14">
        <f t="shared" si="3"/>
        <v>8.6700000000000017</v>
      </c>
      <c r="Q49" s="16">
        <v>0</v>
      </c>
      <c r="R49" s="16">
        <v>0</v>
      </c>
      <c r="T49" s="14"/>
      <c r="V49" s="14"/>
      <c r="W49" s="14"/>
      <c r="X49" s="14"/>
      <c r="Y49" s="17"/>
      <c r="Z49" s="14"/>
    </row>
    <row r="50" spans="1:26" s="13" customFormat="1" x14ac:dyDescent="0.25">
      <c r="A50" s="13" t="s">
        <v>48</v>
      </c>
      <c r="B50" s="13" t="s">
        <v>72</v>
      </c>
      <c r="C50" s="14">
        <v>3.74</v>
      </c>
      <c r="D50" s="14">
        <v>7.8</v>
      </c>
      <c r="E50" s="14">
        <v>2.7</v>
      </c>
      <c r="F50" s="14">
        <f>D50*E50</f>
        <v>21.060000000000002</v>
      </c>
      <c r="G50" s="14">
        <f>(0.9*2.1)+(2*0.8)</f>
        <v>3.49</v>
      </c>
      <c r="H50" s="14">
        <f t="shared" si="1"/>
        <v>17.57</v>
      </c>
      <c r="I50" s="14">
        <f t="shared" si="2"/>
        <v>17.57</v>
      </c>
      <c r="J50" s="14">
        <v>7.5</v>
      </c>
      <c r="K50" s="16">
        <v>10.07</v>
      </c>
      <c r="L50" s="16">
        <f>J50</f>
        <v>7.5</v>
      </c>
      <c r="M50" s="16">
        <f>K50</f>
        <v>10.07</v>
      </c>
      <c r="N50" s="16">
        <v>0</v>
      </c>
      <c r="O50" s="24">
        <v>0</v>
      </c>
      <c r="P50" s="14">
        <f t="shared" si="3"/>
        <v>0</v>
      </c>
      <c r="Q50" s="16">
        <v>0</v>
      </c>
      <c r="R50" s="16">
        <v>0</v>
      </c>
      <c r="T50" s="14"/>
      <c r="V50" s="14"/>
      <c r="W50" s="14"/>
      <c r="X50" s="14"/>
      <c r="Y50" s="17"/>
      <c r="Z50" s="14"/>
    </row>
    <row r="51" spans="1:26" s="13" customFormat="1" x14ac:dyDescent="0.25">
      <c r="A51" s="13" t="s">
        <v>48</v>
      </c>
      <c r="B51" s="13" t="s">
        <v>14</v>
      </c>
      <c r="C51" s="14">
        <v>5.04</v>
      </c>
      <c r="D51" s="14">
        <v>10</v>
      </c>
      <c r="E51" s="14">
        <v>2.7</v>
      </c>
      <c r="F51" s="14">
        <f>D51*E51</f>
        <v>27</v>
      </c>
      <c r="G51" s="14">
        <f>0.8*2.1</f>
        <v>1.6800000000000002</v>
      </c>
      <c r="H51" s="14">
        <f t="shared" si="1"/>
        <v>25.32</v>
      </c>
      <c r="I51" s="14">
        <f t="shared" si="2"/>
        <v>25.32</v>
      </c>
      <c r="J51" s="14">
        <v>5.88</v>
      </c>
      <c r="K51" s="16">
        <v>19.440000000000001</v>
      </c>
      <c r="L51" s="16">
        <f>J51</f>
        <v>5.88</v>
      </c>
      <c r="M51" s="16">
        <f>K51</f>
        <v>19.440000000000001</v>
      </c>
      <c r="N51" s="16">
        <v>0</v>
      </c>
      <c r="O51" s="24">
        <v>0</v>
      </c>
      <c r="P51" s="14">
        <f t="shared" si="3"/>
        <v>0</v>
      </c>
      <c r="Q51" s="16">
        <v>0</v>
      </c>
      <c r="R51" s="16">
        <v>0</v>
      </c>
      <c r="T51" s="14"/>
      <c r="V51" s="14"/>
      <c r="W51" s="14"/>
      <c r="X51" s="14"/>
      <c r="Y51" s="17"/>
      <c r="Z51" s="14"/>
    </row>
    <row r="52" spans="1:26" s="13" customFormat="1" x14ac:dyDescent="0.25">
      <c r="A52" s="13" t="s">
        <v>48</v>
      </c>
      <c r="B52" s="13" t="s">
        <v>33</v>
      </c>
      <c r="C52" s="14">
        <v>10.32</v>
      </c>
      <c r="D52" s="14">
        <v>13.2</v>
      </c>
      <c r="E52" s="14">
        <v>2.7</v>
      </c>
      <c r="F52" s="14">
        <f>D52*E52</f>
        <v>35.64</v>
      </c>
      <c r="G52" s="14">
        <f>(2*2)+(0.8*2.1)</f>
        <v>5.68</v>
      </c>
      <c r="H52" s="14">
        <f t="shared" si="1"/>
        <v>29.96</v>
      </c>
      <c r="I52" s="14">
        <f t="shared" si="2"/>
        <v>29.96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24">
        <v>0</v>
      </c>
      <c r="P52" s="14">
        <f t="shared" si="3"/>
        <v>29.96</v>
      </c>
      <c r="Q52" s="16">
        <v>0</v>
      </c>
      <c r="R52" s="16">
        <v>0</v>
      </c>
      <c r="S52" s="14"/>
      <c r="T52" s="14"/>
      <c r="U52" s="17"/>
      <c r="V52" s="14"/>
      <c r="W52" s="14"/>
      <c r="X52" s="14"/>
      <c r="Y52" s="17"/>
      <c r="Z52" s="14"/>
    </row>
    <row r="53" spans="1:26" s="13" customFormat="1" x14ac:dyDescent="0.25">
      <c r="C53" s="14"/>
      <c r="D53" s="14"/>
      <c r="E53" s="14"/>
      <c r="F53" s="14"/>
      <c r="G53" s="14"/>
      <c r="H53" s="14"/>
      <c r="I53" s="14"/>
      <c r="J53" s="16"/>
      <c r="K53" s="16"/>
      <c r="L53" s="16"/>
      <c r="M53" s="16"/>
      <c r="N53" s="16"/>
      <c r="O53" s="24"/>
      <c r="P53" s="14"/>
      <c r="Q53" s="16"/>
      <c r="R53" s="16"/>
      <c r="S53" s="14"/>
      <c r="T53" s="14"/>
      <c r="U53" s="17"/>
      <c r="V53" s="14"/>
      <c r="W53" s="14"/>
      <c r="X53" s="14"/>
      <c r="Y53" s="17"/>
      <c r="Z53" s="14"/>
    </row>
    <row r="54" spans="1:26" s="13" customFormat="1" x14ac:dyDescent="0.25">
      <c r="A54" s="13" t="s">
        <v>49</v>
      </c>
      <c r="B54" s="20" t="s">
        <v>3</v>
      </c>
      <c r="C54" s="14">
        <v>8.0399999999999991</v>
      </c>
      <c r="D54" s="14">
        <v>15.8</v>
      </c>
      <c r="E54" s="14">
        <v>2.65</v>
      </c>
      <c r="F54" s="14">
        <f>D54*E54</f>
        <v>41.87</v>
      </c>
      <c r="G54" s="14">
        <f>7.9*1.25</f>
        <v>9.875</v>
      </c>
      <c r="H54" s="14">
        <f t="shared" si="1"/>
        <v>31.994999999999997</v>
      </c>
      <c r="I54" s="14">
        <f t="shared" si="2"/>
        <v>31.994999999999997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24">
        <v>0</v>
      </c>
      <c r="P54" s="14">
        <f t="shared" si="3"/>
        <v>31.994999999999997</v>
      </c>
      <c r="Q54" s="16">
        <v>0</v>
      </c>
      <c r="R54" s="16">
        <v>0</v>
      </c>
      <c r="S54" s="14"/>
      <c r="T54" s="14"/>
      <c r="U54" s="17"/>
      <c r="V54" s="14"/>
      <c r="W54" s="14"/>
      <c r="X54" s="14"/>
      <c r="Y54" s="17"/>
      <c r="Z54" s="14"/>
    </row>
    <row r="55" spans="1:26" s="13" customFormat="1" x14ac:dyDescent="0.25">
      <c r="A55" s="13" t="s">
        <v>49</v>
      </c>
      <c r="B55" s="13" t="s">
        <v>34</v>
      </c>
      <c r="C55" s="14">
        <v>23.68</v>
      </c>
      <c r="D55" s="14">
        <v>20.6</v>
      </c>
      <c r="E55" s="14">
        <v>2.65</v>
      </c>
      <c r="F55" s="14">
        <f>D55*E55</f>
        <v>54.59</v>
      </c>
      <c r="G55" s="14">
        <f>(2*0.8*2.1)+(2*2)</f>
        <v>7.36</v>
      </c>
      <c r="H55" s="14">
        <f t="shared" si="1"/>
        <v>47.230000000000004</v>
      </c>
      <c r="I55" s="14">
        <f t="shared" si="2"/>
        <v>47.230000000000004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24">
        <v>0</v>
      </c>
      <c r="P55" s="14">
        <f t="shared" si="3"/>
        <v>47.230000000000004</v>
      </c>
      <c r="Q55" s="16">
        <v>0</v>
      </c>
      <c r="R55" s="16">
        <v>0</v>
      </c>
      <c r="S55" s="14"/>
      <c r="T55" s="14"/>
      <c r="U55" s="17"/>
      <c r="V55" s="14"/>
      <c r="W55" s="14"/>
      <c r="X55" s="14"/>
      <c r="Y55" s="17"/>
      <c r="Z55" s="14"/>
    </row>
    <row r="56" spans="1:26" s="13" customFormat="1" x14ac:dyDescent="0.25">
      <c r="A56" s="13" t="s">
        <v>49</v>
      </c>
      <c r="B56" s="13" t="s">
        <v>19</v>
      </c>
      <c r="C56" s="14">
        <v>3.72</v>
      </c>
      <c r="D56" s="14">
        <v>8.6</v>
      </c>
      <c r="E56" s="14">
        <v>2.65</v>
      </c>
      <c r="F56" s="14">
        <f>D56*E56</f>
        <v>22.79</v>
      </c>
      <c r="G56" s="14">
        <f>(3*0.8*2.1)</f>
        <v>5.0400000000000009</v>
      </c>
      <c r="H56" s="14">
        <f t="shared" si="1"/>
        <v>17.75</v>
      </c>
      <c r="I56" s="14">
        <f t="shared" si="2"/>
        <v>17.75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24">
        <v>0</v>
      </c>
      <c r="P56" s="14">
        <f t="shared" si="3"/>
        <v>17.75</v>
      </c>
      <c r="Q56" s="16">
        <v>0</v>
      </c>
      <c r="R56" s="16">
        <v>0</v>
      </c>
      <c r="S56" s="14"/>
      <c r="T56" s="14"/>
      <c r="U56" s="17"/>
      <c r="V56" s="14"/>
      <c r="W56" s="14"/>
      <c r="X56" s="14"/>
      <c r="Y56" s="17"/>
      <c r="Z56" s="14"/>
    </row>
    <row r="57" spans="1:26" s="13" customFormat="1" x14ac:dyDescent="0.25">
      <c r="A57" s="13" t="s">
        <v>49</v>
      </c>
      <c r="B57" s="13" t="s">
        <v>35</v>
      </c>
      <c r="C57" s="14">
        <v>12</v>
      </c>
      <c r="D57" s="14">
        <v>22.4</v>
      </c>
      <c r="E57" s="14">
        <v>2.65</v>
      </c>
      <c r="F57" s="14">
        <f>D57*E57</f>
        <v>59.359999999999992</v>
      </c>
      <c r="G57" s="14">
        <f>(1.2*2.1)+(11.2*1.25)</f>
        <v>16.52</v>
      </c>
      <c r="H57" s="14">
        <f t="shared" si="1"/>
        <v>42.839999999999989</v>
      </c>
      <c r="I57" s="14">
        <f t="shared" si="2"/>
        <v>42.839999999999989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24">
        <v>0</v>
      </c>
      <c r="P57" s="14">
        <f t="shared" si="3"/>
        <v>42.839999999999989</v>
      </c>
      <c r="Q57" s="16">
        <v>0</v>
      </c>
      <c r="R57" s="16">
        <v>0</v>
      </c>
      <c r="S57" s="14"/>
      <c r="T57" s="14"/>
      <c r="U57" s="17"/>
      <c r="V57" s="14"/>
      <c r="W57" s="14"/>
      <c r="X57" s="14"/>
      <c r="Y57" s="17"/>
      <c r="Z57" s="14"/>
    </row>
    <row r="58" spans="1:26" s="13" customFormat="1" x14ac:dyDescent="0.25">
      <c r="A58" s="13" t="s">
        <v>49</v>
      </c>
      <c r="B58" s="13" t="s">
        <v>36</v>
      </c>
      <c r="C58" s="14">
        <v>23.68</v>
      </c>
      <c r="D58" s="14">
        <v>20.6</v>
      </c>
      <c r="E58" s="14">
        <v>2.65</v>
      </c>
      <c r="F58" s="14">
        <f>D58*E58</f>
        <v>54.59</v>
      </c>
      <c r="G58" s="14">
        <f>(0.8*2.1)+(2*2)</f>
        <v>5.68</v>
      </c>
      <c r="H58" s="14">
        <f t="shared" si="1"/>
        <v>48.910000000000004</v>
      </c>
      <c r="I58" s="14">
        <f t="shared" si="2"/>
        <v>48.910000000000004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24">
        <v>0</v>
      </c>
      <c r="P58" s="14">
        <f t="shared" si="3"/>
        <v>48.910000000000004</v>
      </c>
      <c r="Q58" s="16">
        <v>0</v>
      </c>
      <c r="R58" s="16">
        <v>0</v>
      </c>
      <c r="S58" s="14"/>
      <c r="T58" s="14"/>
      <c r="U58" s="17"/>
      <c r="V58" s="14"/>
      <c r="W58" s="14"/>
      <c r="X58" s="14"/>
      <c r="Y58" s="17"/>
      <c r="Z58" s="14"/>
    </row>
    <row r="59" spans="1:26" s="13" customFormat="1" x14ac:dyDescent="0.25">
      <c r="C59" s="14"/>
      <c r="D59" s="14"/>
      <c r="E59" s="14"/>
      <c r="F59" s="14"/>
      <c r="G59" s="14"/>
      <c r="H59" s="14"/>
      <c r="I59" s="14"/>
      <c r="J59" s="16"/>
      <c r="K59" s="16"/>
      <c r="L59" s="16"/>
      <c r="M59" s="16"/>
      <c r="N59" s="16"/>
      <c r="O59" s="24"/>
      <c r="P59" s="14"/>
      <c r="S59" s="14"/>
      <c r="T59" s="14"/>
      <c r="U59" s="17"/>
      <c r="V59" s="14"/>
      <c r="W59" s="14"/>
      <c r="X59" s="14"/>
      <c r="Y59" s="17"/>
      <c r="Z59" s="14"/>
    </row>
    <row r="60" spans="1:26" s="13" customFormat="1" x14ac:dyDescent="0.25">
      <c r="A60" s="13" t="s">
        <v>51</v>
      </c>
      <c r="B60" s="13" t="s">
        <v>52</v>
      </c>
      <c r="C60" s="14">
        <v>0</v>
      </c>
      <c r="D60" s="14">
        <v>46.4</v>
      </c>
      <c r="E60" s="14">
        <v>2.8</v>
      </c>
      <c r="F60" s="14">
        <f t="shared" ref="F60:F65" si="7">D60*E60</f>
        <v>129.91999999999999</v>
      </c>
      <c r="G60" s="14">
        <v>0</v>
      </c>
      <c r="H60" s="14">
        <f t="shared" si="1"/>
        <v>129.91999999999999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24">
        <v>0</v>
      </c>
      <c r="P60" s="14">
        <v>0</v>
      </c>
      <c r="Q60" s="14">
        <f>H60</f>
        <v>129.91999999999999</v>
      </c>
      <c r="R60" s="16">
        <v>0</v>
      </c>
      <c r="S60" s="14"/>
      <c r="T60" s="14"/>
      <c r="U60" s="17"/>
      <c r="V60" s="14"/>
      <c r="W60" s="14"/>
      <c r="X60" s="14"/>
      <c r="Y60" s="17"/>
      <c r="Z60" s="14"/>
    </row>
    <row r="61" spans="1:26" s="13" customFormat="1" x14ac:dyDescent="0.25">
      <c r="A61" s="13" t="s">
        <v>51</v>
      </c>
      <c r="B61" s="13" t="s">
        <v>53</v>
      </c>
      <c r="C61" s="14">
        <v>3.12</v>
      </c>
      <c r="D61" s="14">
        <v>10.6</v>
      </c>
      <c r="E61" s="14">
        <v>1.7</v>
      </c>
      <c r="F61" s="14">
        <f t="shared" si="7"/>
        <v>18.02</v>
      </c>
      <c r="G61" s="14">
        <v>0</v>
      </c>
      <c r="H61" s="14">
        <f t="shared" si="1"/>
        <v>18.02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24">
        <v>0</v>
      </c>
      <c r="P61" s="14">
        <v>0</v>
      </c>
      <c r="Q61" s="16">
        <v>0</v>
      </c>
      <c r="R61" s="14">
        <f>H61</f>
        <v>18.02</v>
      </c>
      <c r="S61" s="14"/>
      <c r="T61" s="14"/>
      <c r="U61" s="17"/>
      <c r="V61" s="14"/>
      <c r="W61" s="14"/>
      <c r="X61" s="14"/>
      <c r="Y61" s="17"/>
      <c r="Z61" s="14"/>
    </row>
    <row r="62" spans="1:26" s="60" customFormat="1" x14ac:dyDescent="0.25">
      <c r="A62" s="60" t="s">
        <v>51</v>
      </c>
      <c r="B62" s="60" t="s">
        <v>54</v>
      </c>
      <c r="C62" s="61">
        <v>0</v>
      </c>
      <c r="D62" s="61">
        <v>6.4</v>
      </c>
      <c r="E62" s="61">
        <v>1.1000000000000001</v>
      </c>
      <c r="F62" s="61">
        <f t="shared" si="7"/>
        <v>7.0400000000000009</v>
      </c>
      <c r="G62" s="61">
        <v>0</v>
      </c>
      <c r="H62" s="61">
        <f t="shared" si="1"/>
        <v>7.0400000000000009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3">
        <v>0</v>
      </c>
      <c r="P62" s="61">
        <v>0</v>
      </c>
      <c r="Q62" s="61">
        <f>H62</f>
        <v>7.0400000000000009</v>
      </c>
      <c r="R62" s="62">
        <v>0</v>
      </c>
      <c r="S62" s="61"/>
      <c r="T62" s="61"/>
      <c r="U62" s="64"/>
      <c r="V62" s="61"/>
      <c r="W62" s="61"/>
      <c r="X62" s="61"/>
      <c r="Y62" s="64"/>
      <c r="Z62" s="61"/>
    </row>
    <row r="63" spans="1:26" s="60" customFormat="1" x14ac:dyDescent="0.25">
      <c r="A63" s="60" t="s">
        <v>51</v>
      </c>
      <c r="B63" s="60" t="s">
        <v>56</v>
      </c>
      <c r="C63" s="61">
        <v>0</v>
      </c>
      <c r="D63" s="61">
        <v>63</v>
      </c>
      <c r="E63" s="61" t="s">
        <v>57</v>
      </c>
      <c r="F63" s="61">
        <v>143.12</v>
      </c>
      <c r="G63" s="61">
        <v>0</v>
      </c>
      <c r="H63" s="61">
        <f t="shared" si="1"/>
        <v>143.12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3">
        <v>0</v>
      </c>
      <c r="P63" s="61">
        <v>0</v>
      </c>
      <c r="Q63" s="61">
        <f>H63</f>
        <v>143.12</v>
      </c>
      <c r="R63" s="61">
        <v>0</v>
      </c>
      <c r="S63" s="61"/>
      <c r="T63" s="61"/>
      <c r="U63" s="64"/>
      <c r="V63" s="61"/>
      <c r="W63" s="61"/>
      <c r="X63" s="61"/>
      <c r="Y63" s="64"/>
      <c r="Z63" s="61"/>
    </row>
    <row r="64" spans="1:26" s="13" customFormat="1" x14ac:dyDescent="0.25">
      <c r="A64" s="13" t="s">
        <v>51</v>
      </c>
      <c r="B64" s="13" t="s">
        <v>58</v>
      </c>
      <c r="C64" s="14">
        <v>0</v>
      </c>
      <c r="D64" s="14">
        <v>15.1</v>
      </c>
      <c r="E64" s="14" t="s">
        <v>57</v>
      </c>
      <c r="F64" s="14">
        <v>10.29</v>
      </c>
      <c r="G64" s="14">
        <v>0</v>
      </c>
      <c r="H64" s="14">
        <f t="shared" si="1"/>
        <v>10.29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24">
        <v>0</v>
      </c>
      <c r="P64" s="14">
        <v>0</v>
      </c>
      <c r="Q64" s="14">
        <f>H64</f>
        <v>10.29</v>
      </c>
      <c r="R64" s="16">
        <v>0</v>
      </c>
      <c r="S64" s="14"/>
      <c r="T64" s="14"/>
      <c r="U64" s="17"/>
      <c r="V64" s="14"/>
      <c r="W64" s="14"/>
      <c r="X64" s="14"/>
      <c r="Y64" s="17"/>
      <c r="Z64" s="14"/>
    </row>
    <row r="65" spans="1:26" s="13" customFormat="1" ht="30" x14ac:dyDescent="0.25">
      <c r="A65" s="13" t="s">
        <v>51</v>
      </c>
      <c r="B65" s="21" t="s">
        <v>59</v>
      </c>
      <c r="C65" s="14">
        <v>0</v>
      </c>
      <c r="D65" s="14">
        <v>12.15</v>
      </c>
      <c r="E65" s="14">
        <v>2.75</v>
      </c>
      <c r="F65" s="14">
        <f t="shared" si="7"/>
        <v>33.412500000000001</v>
      </c>
      <c r="G65" s="14">
        <v>0</v>
      </c>
      <c r="H65" s="14">
        <f t="shared" si="1"/>
        <v>33.412500000000001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24">
        <v>0</v>
      </c>
      <c r="P65" s="14">
        <v>0</v>
      </c>
      <c r="Q65" s="14">
        <f>H65</f>
        <v>33.412500000000001</v>
      </c>
      <c r="R65" s="14">
        <v>0</v>
      </c>
      <c r="S65" s="14"/>
      <c r="T65" s="14"/>
      <c r="U65" s="17"/>
      <c r="V65" s="14"/>
      <c r="W65" s="14"/>
      <c r="X65" s="14"/>
      <c r="Y65" s="17"/>
      <c r="Z65" s="14"/>
    </row>
    <row r="66" spans="1:26" s="13" customFormat="1" ht="30" x14ac:dyDescent="0.25">
      <c r="A66" s="13" t="s">
        <v>51</v>
      </c>
      <c r="B66" s="21" t="s">
        <v>60</v>
      </c>
      <c r="C66" s="14">
        <v>0</v>
      </c>
      <c r="D66" s="14">
        <v>11.55</v>
      </c>
      <c r="E66" s="14" t="s">
        <v>57</v>
      </c>
      <c r="F66" s="14">
        <v>21.37</v>
      </c>
      <c r="G66" s="14">
        <v>0</v>
      </c>
      <c r="H66" s="14">
        <f t="shared" si="1"/>
        <v>21.37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24">
        <v>0</v>
      </c>
      <c r="P66" s="14">
        <v>0</v>
      </c>
      <c r="Q66" s="14">
        <f>H66</f>
        <v>21.37</v>
      </c>
      <c r="R66" s="16">
        <v>0</v>
      </c>
      <c r="S66" s="14"/>
      <c r="T66" s="14"/>
      <c r="U66" s="17"/>
      <c r="V66" s="14"/>
      <c r="W66" s="14"/>
      <c r="X66" s="14"/>
      <c r="Y66" s="17"/>
      <c r="Z66" s="14"/>
    </row>
    <row r="67" spans="1:26" s="13" customFormat="1" x14ac:dyDescent="0.25">
      <c r="A67" s="13" t="s">
        <v>51</v>
      </c>
      <c r="B67" s="21" t="s">
        <v>61</v>
      </c>
      <c r="C67" s="14">
        <v>0</v>
      </c>
      <c r="D67" s="14">
        <v>67.400000000000006</v>
      </c>
      <c r="E67" s="14">
        <v>4.4000000000000004</v>
      </c>
      <c r="F67" s="14">
        <f>D67*E67</f>
        <v>296.56000000000006</v>
      </c>
      <c r="G67" s="14">
        <f>(4.3*2.7)+(8*1.9*1)+(4*2.3*1)</f>
        <v>36.01</v>
      </c>
      <c r="H67" s="14">
        <f t="shared" si="1"/>
        <v>260.55000000000007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24">
        <v>0</v>
      </c>
      <c r="P67" s="14">
        <v>0</v>
      </c>
      <c r="Q67" s="16">
        <v>0</v>
      </c>
      <c r="R67" s="14">
        <f>H67</f>
        <v>260.55000000000007</v>
      </c>
      <c r="S67" s="14"/>
      <c r="T67" s="14"/>
      <c r="U67" s="17"/>
      <c r="V67" s="14"/>
      <c r="W67" s="14"/>
      <c r="X67" s="14"/>
      <c r="Y67" s="17"/>
      <c r="Z67" s="14"/>
    </row>
    <row r="68" spans="1:26" s="13" customFormat="1" ht="30" x14ac:dyDescent="0.25">
      <c r="A68" s="13" t="s">
        <v>51</v>
      </c>
      <c r="B68" s="21" t="s">
        <v>65</v>
      </c>
      <c r="C68" s="14">
        <v>0</v>
      </c>
      <c r="D68" s="14">
        <v>15.9</v>
      </c>
      <c r="E68" s="14">
        <v>3.4</v>
      </c>
      <c r="F68" s="14">
        <f t="shared" ref="F68:F74" si="8">D68*E68</f>
        <v>54.06</v>
      </c>
      <c r="G68" s="14">
        <f>(4.2*2)</f>
        <v>8.4</v>
      </c>
      <c r="H68" s="14">
        <f t="shared" ref="H68:H75" si="9">F68-G68</f>
        <v>45.660000000000004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24">
        <v>0</v>
      </c>
      <c r="P68" s="14">
        <v>0</v>
      </c>
      <c r="Q68" s="16">
        <v>0</v>
      </c>
      <c r="R68" s="14">
        <f t="shared" ref="R68:R72" si="10">H68</f>
        <v>45.660000000000004</v>
      </c>
      <c r="S68" s="14"/>
      <c r="T68" s="14"/>
      <c r="U68" s="17"/>
      <c r="V68" s="14"/>
      <c r="W68" s="14"/>
      <c r="X68" s="14"/>
      <c r="Y68" s="17"/>
      <c r="Z68" s="14"/>
    </row>
    <row r="69" spans="1:26" s="13" customFormat="1" x14ac:dyDescent="0.25">
      <c r="A69" s="13" t="s">
        <v>51</v>
      </c>
      <c r="B69" s="21" t="s">
        <v>62</v>
      </c>
      <c r="C69" s="14">
        <v>0</v>
      </c>
      <c r="D69" s="14">
        <f>76.8+15.5+8+18.7</f>
        <v>119</v>
      </c>
      <c r="E69" s="14" t="s">
        <v>57</v>
      </c>
      <c r="F69" s="14">
        <f>((76.8+15.5)*1)+(8*0.2)+(18.7*0.3)</f>
        <v>99.509999999999991</v>
      </c>
      <c r="G69" s="14">
        <f>2*0.6</f>
        <v>1.2</v>
      </c>
      <c r="H69" s="14">
        <f t="shared" si="9"/>
        <v>98.309999999999988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24">
        <v>0</v>
      </c>
      <c r="P69" s="14">
        <v>0</v>
      </c>
      <c r="Q69" s="16">
        <v>0</v>
      </c>
      <c r="R69" s="14">
        <f t="shared" si="10"/>
        <v>98.309999999999988</v>
      </c>
      <c r="S69" s="14"/>
      <c r="T69" s="14"/>
      <c r="U69" s="17"/>
      <c r="V69" s="14"/>
      <c r="W69" s="14"/>
      <c r="X69" s="14"/>
      <c r="Y69" s="17"/>
      <c r="Z69" s="14"/>
    </row>
    <row r="70" spans="1:26" s="13" customFormat="1" ht="30" x14ac:dyDescent="0.25">
      <c r="A70" s="13" t="s">
        <v>51</v>
      </c>
      <c r="B70" s="21" t="s">
        <v>66</v>
      </c>
      <c r="C70" s="14">
        <v>0</v>
      </c>
      <c r="D70" s="14">
        <v>20.3</v>
      </c>
      <c r="E70" s="14">
        <v>2.9</v>
      </c>
      <c r="F70" s="14">
        <f t="shared" si="8"/>
        <v>58.87</v>
      </c>
      <c r="G70" s="14">
        <f>1.1*0.6</f>
        <v>0.66</v>
      </c>
      <c r="H70" s="14">
        <f t="shared" si="9"/>
        <v>58.21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24">
        <v>0</v>
      </c>
      <c r="P70" s="14">
        <v>0</v>
      </c>
      <c r="Q70" s="16">
        <v>0</v>
      </c>
      <c r="R70" s="14">
        <f t="shared" si="10"/>
        <v>58.21</v>
      </c>
      <c r="S70" s="14"/>
      <c r="T70" s="14"/>
      <c r="U70" s="17"/>
      <c r="V70" s="14"/>
      <c r="W70" s="14"/>
      <c r="X70" s="14"/>
      <c r="Y70" s="17"/>
      <c r="Z70" s="14"/>
    </row>
    <row r="71" spans="1:26" s="13" customFormat="1" ht="30" x14ac:dyDescent="0.25">
      <c r="A71" s="13" t="s">
        <v>51</v>
      </c>
      <c r="B71" s="21" t="s">
        <v>67</v>
      </c>
      <c r="C71" s="14">
        <v>17.12</v>
      </c>
      <c r="D71" s="14">
        <v>20.3</v>
      </c>
      <c r="E71" s="14">
        <v>2.9</v>
      </c>
      <c r="F71" s="14">
        <f t="shared" si="8"/>
        <v>58.87</v>
      </c>
      <c r="G71" s="14">
        <f>1.1*0.6</f>
        <v>0.66</v>
      </c>
      <c r="H71" s="14">
        <f t="shared" si="9"/>
        <v>58.21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24">
        <v>0</v>
      </c>
      <c r="P71" s="14">
        <v>0</v>
      </c>
      <c r="Q71" s="16">
        <v>0</v>
      </c>
      <c r="R71" s="14">
        <f t="shared" si="10"/>
        <v>58.21</v>
      </c>
      <c r="S71" s="14"/>
      <c r="T71" s="14"/>
      <c r="U71" s="17"/>
      <c r="V71" s="14"/>
      <c r="W71" s="14"/>
      <c r="X71" s="14"/>
      <c r="Y71" s="17"/>
      <c r="Z71" s="14"/>
    </row>
    <row r="72" spans="1:26" s="60" customFormat="1" x14ac:dyDescent="0.25">
      <c r="A72" s="60" t="s">
        <v>51</v>
      </c>
      <c r="B72" s="65" t="s">
        <v>63</v>
      </c>
      <c r="C72" s="61">
        <v>0</v>
      </c>
      <c r="D72" s="61">
        <f>17.3+17.3+(2*30.7)+7.9</f>
        <v>103.9</v>
      </c>
      <c r="E72" s="61" t="s">
        <v>57</v>
      </c>
      <c r="F72" s="61">
        <f>(17.3*8)+(17.3*5.1)+(2*220.97)+(7.9*5.5)+(2*16.9*1.4)</f>
        <v>759.33999999999992</v>
      </c>
      <c r="G72" s="61">
        <f>(23.3*3.95)+(8*1.25*3.6)+(4*2*2)+(2*0.8)+(3.1*2.1)</f>
        <v>152.14500000000001</v>
      </c>
      <c r="H72" s="61">
        <f t="shared" si="9"/>
        <v>607.19499999999994</v>
      </c>
      <c r="I72" s="62">
        <v>0</v>
      </c>
      <c r="J72" s="62">
        <v>0</v>
      </c>
      <c r="K72" s="62">
        <v>0</v>
      </c>
      <c r="L72" s="62">
        <v>0</v>
      </c>
      <c r="M72" s="62">
        <v>0</v>
      </c>
      <c r="N72" s="62">
        <v>0</v>
      </c>
      <c r="O72" s="63">
        <v>0</v>
      </c>
      <c r="P72" s="61">
        <v>0</v>
      </c>
      <c r="Q72" s="62">
        <v>0</v>
      </c>
      <c r="R72" s="61">
        <f t="shared" si="10"/>
        <v>607.19499999999994</v>
      </c>
      <c r="S72" s="61"/>
      <c r="T72" s="61"/>
      <c r="U72" s="64"/>
      <c r="V72" s="61"/>
      <c r="W72" s="61"/>
      <c r="X72" s="61"/>
      <c r="Y72" s="64"/>
      <c r="Z72" s="61"/>
    </row>
    <row r="73" spans="1:26" s="60" customFormat="1" ht="30" x14ac:dyDescent="0.25">
      <c r="A73" s="60" t="s">
        <v>51</v>
      </c>
      <c r="B73" s="65" t="s">
        <v>88</v>
      </c>
      <c r="C73" s="61">
        <v>0</v>
      </c>
      <c r="D73" s="61">
        <f>43.8+68.6+54.6</f>
        <v>167</v>
      </c>
      <c r="E73" s="61">
        <v>1</v>
      </c>
      <c r="F73" s="61">
        <f t="shared" si="8"/>
        <v>167</v>
      </c>
      <c r="G73" s="61">
        <v>0</v>
      </c>
      <c r="H73" s="61">
        <f t="shared" si="9"/>
        <v>167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3">
        <v>0</v>
      </c>
      <c r="P73" s="61">
        <v>0</v>
      </c>
      <c r="Q73" s="61">
        <f>H73</f>
        <v>167</v>
      </c>
      <c r="R73" s="61">
        <v>0</v>
      </c>
      <c r="S73" s="61"/>
      <c r="T73" s="61"/>
      <c r="U73" s="64"/>
      <c r="V73" s="61"/>
      <c r="W73" s="61"/>
      <c r="X73" s="61"/>
      <c r="Y73" s="64"/>
      <c r="Z73" s="61"/>
    </row>
    <row r="74" spans="1:26" s="60" customFormat="1" ht="30" x14ac:dyDescent="0.25">
      <c r="A74" s="60" t="s">
        <v>51</v>
      </c>
      <c r="B74" s="65" t="s">
        <v>68</v>
      </c>
      <c r="C74" s="61">
        <v>0</v>
      </c>
      <c r="D74" s="61">
        <v>21</v>
      </c>
      <c r="E74" s="61">
        <v>2.25</v>
      </c>
      <c r="F74" s="61">
        <f t="shared" si="8"/>
        <v>47.25</v>
      </c>
      <c r="G74" s="61">
        <f>2*3.4*0.6</f>
        <v>4.08</v>
      </c>
      <c r="H74" s="61">
        <f t="shared" si="9"/>
        <v>43.17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3">
        <v>0</v>
      </c>
      <c r="P74" s="61">
        <v>0</v>
      </c>
      <c r="Q74" s="62">
        <v>0</v>
      </c>
      <c r="R74" s="61">
        <f>H74</f>
        <v>43.17</v>
      </c>
      <c r="S74" s="61"/>
      <c r="T74" s="61"/>
      <c r="U74" s="64"/>
      <c r="V74" s="61"/>
      <c r="W74" s="61"/>
      <c r="X74" s="61"/>
      <c r="Y74" s="64"/>
      <c r="Z74" s="61"/>
    </row>
    <row r="75" spans="1:26" ht="30" x14ac:dyDescent="0.25">
      <c r="A75" t="s">
        <v>51</v>
      </c>
      <c r="B75" s="12" t="s">
        <v>64</v>
      </c>
      <c r="C75" s="1">
        <v>0</v>
      </c>
      <c r="D75" s="1" t="s">
        <v>57</v>
      </c>
      <c r="E75" s="1" t="s">
        <v>57</v>
      </c>
      <c r="F75" s="1">
        <v>977.28</v>
      </c>
      <c r="G75" s="1">
        <v>0</v>
      </c>
      <c r="H75" s="1">
        <f t="shared" si="9"/>
        <v>977.28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24">
        <v>0</v>
      </c>
      <c r="P75" s="14">
        <v>0</v>
      </c>
      <c r="Q75" s="16">
        <v>0</v>
      </c>
      <c r="R75" s="16">
        <v>0</v>
      </c>
    </row>
    <row r="77" spans="1:26" s="4" customFormat="1" x14ac:dyDescent="0.25">
      <c r="B77" s="4" t="s">
        <v>1</v>
      </c>
      <c r="C77" s="5">
        <f>SUM(C3:C75)</f>
        <v>1089.9899999999996</v>
      </c>
      <c r="D77" s="5"/>
      <c r="E77" s="5"/>
      <c r="F77" s="5">
        <f>SUM(F3:F76)</f>
        <v>5409.6574999999993</v>
      </c>
      <c r="G77" s="5"/>
      <c r="H77" s="5">
        <f>SUM(H3:H76)</f>
        <v>4866.5724999999993</v>
      </c>
      <c r="I77" s="5">
        <f t="shared" ref="I77:R77" si="11">SUM(I3:I75)</f>
        <v>2187.8149999999996</v>
      </c>
      <c r="J77" s="5">
        <f t="shared" si="11"/>
        <v>58.550000000000011</v>
      </c>
      <c r="K77" s="5">
        <f t="shared" si="11"/>
        <v>152.26</v>
      </c>
      <c r="L77" s="5">
        <f t="shared" si="11"/>
        <v>35.96</v>
      </c>
      <c r="M77" s="5">
        <f t="shared" si="11"/>
        <v>85.84</v>
      </c>
      <c r="N77" s="5">
        <f t="shared" si="11"/>
        <v>22.59</v>
      </c>
      <c r="O77" s="5">
        <f t="shared" si="11"/>
        <v>66.42</v>
      </c>
      <c r="P77" s="5">
        <f t="shared" si="11"/>
        <v>1977.0049999999999</v>
      </c>
      <c r="Q77" s="5">
        <f t="shared" si="11"/>
        <v>512.15250000000003</v>
      </c>
      <c r="R77" s="5">
        <f t="shared" si="11"/>
        <v>1189.325</v>
      </c>
      <c r="S77" s="5"/>
      <c r="T77" s="5"/>
      <c r="U77" s="9"/>
      <c r="V77" s="5"/>
      <c r="W77" s="5"/>
      <c r="X77" s="5"/>
      <c r="Y77" s="9"/>
      <c r="Z77" s="5"/>
    </row>
    <row r="78" spans="1:26" x14ac:dyDescent="0.25">
      <c r="P78" s="1"/>
    </row>
  </sheetData>
  <conditionalFormatting sqref="A1:XFD1048576">
    <cfRule type="containsText" dxfId="8" priority="1" operator="containsText" text="NÃO">
      <formula>NOT(ISERROR(SEARCH("NÃO",A1)))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28C1-18F9-4AD5-BD89-288F91D4F3C8}">
  <dimension ref="A2:R74"/>
  <sheetViews>
    <sheetView zoomScale="85" zoomScaleNormal="85" workbookViewId="0">
      <pane ySplit="1" topLeftCell="A67" activePane="bottomLeft" state="frozen"/>
      <selection pane="bottomLeft" activeCell="C78" sqref="C78"/>
    </sheetView>
  </sheetViews>
  <sheetFormatPr defaultRowHeight="15" x14ac:dyDescent="0.25"/>
  <cols>
    <col min="1" max="1" width="18.85546875" bestFit="1" customWidth="1"/>
    <col min="2" max="2" width="31.28515625" bestFit="1" customWidth="1"/>
    <col min="3" max="3" width="54.42578125" customWidth="1"/>
    <col min="4" max="4" width="10" style="1" bestFit="1" customWidth="1"/>
    <col min="5" max="5" width="17.7109375" style="1" customWidth="1"/>
    <col min="6" max="6" width="19" style="1" customWidth="1"/>
    <col min="8" max="8" width="10" style="1" customWidth="1"/>
    <col min="9" max="9" width="9.140625" style="1"/>
    <col min="10" max="10" width="9.140625" style="8"/>
    <col min="11" max="11" width="9.140625" style="1"/>
    <col min="12" max="12" width="9.5703125" style="1" customWidth="1"/>
    <col min="13" max="13" width="9.140625" style="1"/>
    <col min="14" max="14" width="9.140625" style="8"/>
    <col min="15" max="15" width="9.140625" style="1"/>
  </cols>
  <sheetData>
    <row r="2" spans="1:18" s="28" customFormat="1" ht="51" customHeight="1" x14ac:dyDescent="0.25">
      <c r="A2" s="28" t="s">
        <v>148</v>
      </c>
      <c r="B2" s="28" t="s">
        <v>37</v>
      </c>
      <c r="C2" s="28" t="s">
        <v>165</v>
      </c>
      <c r="D2" s="29" t="s">
        <v>38</v>
      </c>
      <c r="E2" s="28" t="s">
        <v>191</v>
      </c>
      <c r="F2" s="29" t="s">
        <v>192</v>
      </c>
      <c r="H2" s="29"/>
      <c r="I2" s="29"/>
      <c r="J2" s="30"/>
      <c r="K2" s="29"/>
      <c r="L2" s="29"/>
      <c r="M2" s="29"/>
      <c r="N2" s="30"/>
      <c r="O2" s="29"/>
    </row>
    <row r="3" spans="1:18" s="13" customFormat="1" ht="45" x14ac:dyDescent="0.25">
      <c r="A3" s="13" t="s">
        <v>51</v>
      </c>
      <c r="B3" s="21" t="s">
        <v>172</v>
      </c>
      <c r="C3" s="21" t="s">
        <v>173</v>
      </c>
      <c r="D3" s="23">
        <f>17.94+2+5.1+21.68+54.91+78.84+5.2+22.04+35.98</f>
        <v>243.68999999999997</v>
      </c>
      <c r="E3" s="14">
        <v>0</v>
      </c>
      <c r="F3" s="14">
        <v>0</v>
      </c>
      <c r="H3" s="14"/>
      <c r="I3" s="14"/>
      <c r="J3" s="17"/>
      <c r="K3" s="14"/>
      <c r="L3" s="14"/>
      <c r="M3" s="14"/>
      <c r="N3" s="17"/>
      <c r="O3" s="14"/>
    </row>
    <row r="4" spans="1:18" s="4" customFormat="1" x14ac:dyDescent="0.25">
      <c r="B4" s="39" t="s">
        <v>186</v>
      </c>
      <c r="C4" s="39"/>
      <c r="D4" s="40">
        <f>SUM(D3 D3)</f>
        <v>243.68999999999997</v>
      </c>
      <c r="E4" s="5">
        <v>0</v>
      </c>
      <c r="F4" s="5">
        <v>0</v>
      </c>
      <c r="H4" s="5"/>
      <c r="I4" s="5"/>
      <c r="J4" s="9"/>
      <c r="K4" s="5"/>
      <c r="L4" s="5"/>
      <c r="M4" s="5"/>
      <c r="N4" s="9"/>
      <c r="O4" s="5"/>
    </row>
    <row r="5" spans="1:18" s="44" customFormat="1" ht="45" x14ac:dyDescent="0.25">
      <c r="A5" s="53" t="s">
        <v>48</v>
      </c>
      <c r="B5" s="53" t="s">
        <v>19</v>
      </c>
      <c r="C5" s="51" t="s">
        <v>170</v>
      </c>
      <c r="D5" s="54">
        <v>25.66</v>
      </c>
      <c r="E5" s="54">
        <f>D5</f>
        <v>25.66</v>
      </c>
      <c r="F5" s="54">
        <v>0</v>
      </c>
      <c r="G5" s="53"/>
      <c r="H5" s="54"/>
      <c r="I5" s="54"/>
      <c r="J5" s="56"/>
      <c r="K5" s="54"/>
      <c r="L5" s="54"/>
      <c r="M5" s="54"/>
      <c r="N5" s="56"/>
      <c r="O5" s="54"/>
      <c r="P5" s="53"/>
      <c r="Q5" s="53"/>
      <c r="R5" s="53"/>
    </row>
    <row r="6" spans="1:18" s="44" customFormat="1" ht="45" x14ac:dyDescent="0.25">
      <c r="A6" s="53" t="s">
        <v>48</v>
      </c>
      <c r="B6" s="53" t="s">
        <v>30</v>
      </c>
      <c r="C6" s="51" t="s">
        <v>174</v>
      </c>
      <c r="D6" s="54">
        <v>236.74</v>
      </c>
      <c r="E6" s="54">
        <f t="shared" ref="E6:E7" si="0">D6</f>
        <v>236.74</v>
      </c>
      <c r="F6" s="54">
        <v>0</v>
      </c>
      <c r="G6" s="57"/>
      <c r="H6" s="58"/>
      <c r="I6" s="58"/>
      <c r="J6" s="59"/>
      <c r="K6" s="58"/>
      <c r="L6" s="58"/>
      <c r="M6" s="58"/>
      <c r="N6" s="59"/>
      <c r="O6" s="58"/>
      <c r="P6" s="57"/>
      <c r="Q6" s="57"/>
      <c r="R6" s="57"/>
    </row>
    <row r="7" spans="1:18" s="4" customFormat="1" x14ac:dyDescent="0.25">
      <c r="B7" s="4" t="s">
        <v>175</v>
      </c>
      <c r="C7" s="39"/>
      <c r="D7" s="5">
        <f>SUM(D5:D6)</f>
        <v>262.40000000000003</v>
      </c>
      <c r="E7" s="40">
        <f t="shared" si="0"/>
        <v>262.40000000000003</v>
      </c>
      <c r="F7" s="40">
        <v>0</v>
      </c>
      <c r="H7" s="5"/>
      <c r="I7" s="5"/>
      <c r="J7" s="9"/>
      <c r="K7" s="5"/>
      <c r="L7" s="5"/>
      <c r="M7" s="5"/>
      <c r="N7" s="5"/>
      <c r="O7" s="5"/>
    </row>
    <row r="8" spans="1:18" s="13" customFormat="1" ht="60" x14ac:dyDescent="0.25">
      <c r="A8" s="13" t="s">
        <v>46</v>
      </c>
      <c r="B8" s="13" t="s">
        <v>2</v>
      </c>
      <c r="C8" s="21" t="s">
        <v>181</v>
      </c>
      <c r="D8" s="14">
        <v>46.86</v>
      </c>
      <c r="E8" s="14">
        <f>D8</f>
        <v>46.86</v>
      </c>
      <c r="F8" s="23">
        <v>0</v>
      </c>
      <c r="H8" s="14"/>
      <c r="I8" s="14"/>
      <c r="J8" s="17"/>
      <c r="K8" s="14"/>
      <c r="L8" s="14"/>
      <c r="M8" s="14"/>
      <c r="N8" s="14"/>
      <c r="O8" s="14"/>
    </row>
    <row r="9" spans="1:18" s="13" customFormat="1" ht="60" x14ac:dyDescent="0.25">
      <c r="A9" s="13" t="s">
        <v>46</v>
      </c>
      <c r="B9" s="13" t="s">
        <v>3</v>
      </c>
      <c r="C9" s="21" t="s">
        <v>181</v>
      </c>
      <c r="D9" s="14">
        <v>12.87</v>
      </c>
      <c r="E9" s="14">
        <f>D9</f>
        <v>12.87</v>
      </c>
      <c r="F9" s="23">
        <v>0</v>
      </c>
      <c r="H9" s="14"/>
      <c r="I9" s="14"/>
      <c r="J9" s="17"/>
      <c r="K9" s="14"/>
      <c r="L9" s="14"/>
      <c r="M9" s="14"/>
      <c r="N9" s="14"/>
      <c r="O9" s="14"/>
    </row>
    <row r="10" spans="1:18" s="13" customFormat="1" ht="60" x14ac:dyDescent="0.25">
      <c r="A10" s="13" t="s">
        <v>46</v>
      </c>
      <c r="B10" s="13" t="s">
        <v>4</v>
      </c>
      <c r="C10" s="21" t="s">
        <v>181</v>
      </c>
      <c r="D10" s="14">
        <v>34.770000000000003</v>
      </c>
      <c r="E10" s="14">
        <f>D10</f>
        <v>34.770000000000003</v>
      </c>
      <c r="F10" s="23">
        <v>0</v>
      </c>
      <c r="H10" s="18"/>
      <c r="I10" s="14"/>
      <c r="J10" s="17"/>
      <c r="K10" s="14"/>
      <c r="L10" s="14"/>
      <c r="M10" s="14"/>
      <c r="N10" s="14"/>
      <c r="O10" s="14"/>
    </row>
    <row r="11" spans="1:18" s="13" customFormat="1" ht="60" x14ac:dyDescent="0.25">
      <c r="A11" s="13" t="s">
        <v>46</v>
      </c>
      <c r="B11" s="20" t="s">
        <v>5</v>
      </c>
      <c r="C11" s="21" t="s">
        <v>182</v>
      </c>
      <c r="D11" s="14">
        <v>61.25</v>
      </c>
      <c r="E11" s="14">
        <f>D11</f>
        <v>61.25</v>
      </c>
      <c r="F11" s="23">
        <v>0</v>
      </c>
      <c r="H11" s="14"/>
      <c r="I11" s="14"/>
      <c r="J11" s="17"/>
      <c r="K11" s="14"/>
      <c r="L11" s="14"/>
      <c r="M11" s="14"/>
      <c r="N11" s="17"/>
      <c r="O11" s="14"/>
    </row>
    <row r="12" spans="1:18" s="13" customFormat="1" ht="60" x14ac:dyDescent="0.25">
      <c r="A12" s="13" t="s">
        <v>47</v>
      </c>
      <c r="B12" s="13" t="s">
        <v>3</v>
      </c>
      <c r="C12" s="21" t="s">
        <v>181</v>
      </c>
      <c r="D12" s="14">
        <v>11.25</v>
      </c>
      <c r="E12" s="14">
        <f t="shared" ref="E12" si="1">D12</f>
        <v>11.25</v>
      </c>
      <c r="F12" s="23">
        <v>0</v>
      </c>
      <c r="H12" s="14"/>
      <c r="I12" s="14"/>
      <c r="J12" s="17"/>
      <c r="K12" s="14"/>
      <c r="L12" s="14"/>
      <c r="M12" s="14"/>
      <c r="N12" s="17"/>
      <c r="O12" s="14"/>
    </row>
    <row r="13" spans="1:18" s="4" customFormat="1" x14ac:dyDescent="0.25">
      <c r="B13" s="4" t="s">
        <v>193</v>
      </c>
      <c r="C13" s="39"/>
      <c r="D13" s="5">
        <f>SUM(D8:D12)</f>
        <v>167</v>
      </c>
      <c r="E13" s="5">
        <f>SUM(E8:E12)</f>
        <v>167</v>
      </c>
      <c r="F13" s="40">
        <f>SUM(F8:F12)</f>
        <v>0</v>
      </c>
      <c r="H13" s="5"/>
      <c r="I13" s="5"/>
      <c r="J13" s="9"/>
      <c r="K13" s="5"/>
      <c r="L13" s="5"/>
      <c r="M13" s="5"/>
      <c r="N13" s="9"/>
      <c r="O13" s="5"/>
    </row>
    <row r="14" spans="1:18" s="13" customFormat="1" ht="60" x14ac:dyDescent="0.25">
      <c r="A14" s="13" t="s">
        <v>46</v>
      </c>
      <c r="B14" s="13" t="s">
        <v>6</v>
      </c>
      <c r="C14" s="21" t="s">
        <v>180</v>
      </c>
      <c r="D14" s="14">
        <v>96.89</v>
      </c>
      <c r="E14" s="14">
        <f>D14</f>
        <v>96.89</v>
      </c>
      <c r="F14" s="23">
        <v>0</v>
      </c>
      <c r="H14" s="18"/>
      <c r="I14" s="14"/>
      <c r="J14" s="17"/>
      <c r="K14" s="14"/>
      <c r="L14" s="14"/>
      <c r="M14" s="14"/>
      <c r="N14" s="17"/>
      <c r="O14" s="14"/>
    </row>
    <row r="15" spans="1:18" s="13" customFormat="1" ht="60" x14ac:dyDescent="0.25">
      <c r="A15" s="13" t="s">
        <v>51</v>
      </c>
      <c r="B15" s="21" t="s">
        <v>171</v>
      </c>
      <c r="C15" s="21" t="s">
        <v>180</v>
      </c>
      <c r="D15" s="23">
        <f>55.93+23.48</f>
        <v>79.41</v>
      </c>
      <c r="E15" s="14">
        <v>0</v>
      </c>
      <c r="F15" s="23">
        <v>0</v>
      </c>
      <c r="H15" s="14"/>
      <c r="I15" s="14"/>
      <c r="J15" s="17"/>
      <c r="K15" s="14"/>
      <c r="L15" s="14"/>
      <c r="M15" s="14"/>
      <c r="N15" s="17"/>
      <c r="O15" s="14"/>
    </row>
    <row r="16" spans="1:18" s="4" customFormat="1" x14ac:dyDescent="0.25">
      <c r="B16" s="42" t="s">
        <v>194</v>
      </c>
      <c r="C16" s="39"/>
      <c r="D16" s="40">
        <f>SUM(D14:D15)</f>
        <v>176.3</v>
      </c>
      <c r="E16" s="5">
        <f>SUM(E14:E15)</f>
        <v>96.89</v>
      </c>
      <c r="F16" s="40">
        <v>0</v>
      </c>
      <c r="H16" s="5"/>
      <c r="I16" s="5"/>
      <c r="J16" s="9"/>
      <c r="K16" s="5"/>
      <c r="L16" s="5"/>
      <c r="M16" s="5"/>
      <c r="N16" s="9"/>
      <c r="O16" s="5"/>
    </row>
    <row r="17" spans="1:15" s="13" customFormat="1" ht="45" x14ac:dyDescent="0.25">
      <c r="A17" s="13" t="s">
        <v>51</v>
      </c>
      <c r="B17" s="13" t="s">
        <v>19</v>
      </c>
      <c r="C17" s="21" t="s">
        <v>179</v>
      </c>
      <c r="D17" s="23">
        <f>66.15+20.99+11.18</f>
        <v>98.32</v>
      </c>
      <c r="E17" s="14">
        <v>0</v>
      </c>
      <c r="F17" s="23">
        <v>0</v>
      </c>
      <c r="H17" s="14"/>
      <c r="I17" s="14"/>
      <c r="J17" s="17"/>
      <c r="K17" s="14"/>
      <c r="L17" s="14"/>
      <c r="M17" s="14"/>
      <c r="N17" s="17"/>
      <c r="O17" s="14"/>
    </row>
    <row r="18" spans="1:15" s="4" customFormat="1" x14ac:dyDescent="0.25">
      <c r="B18" s="4" t="s">
        <v>176</v>
      </c>
      <c r="C18" s="39"/>
      <c r="D18" s="40">
        <f>SUM(D17)</f>
        <v>98.32</v>
      </c>
      <c r="E18" s="5">
        <f>SUM(E17)</f>
        <v>0</v>
      </c>
      <c r="F18" s="40">
        <v>0</v>
      </c>
      <c r="H18" s="5"/>
      <c r="I18" s="5"/>
      <c r="J18" s="9"/>
      <c r="K18" s="5"/>
      <c r="L18" s="5"/>
      <c r="M18" s="5"/>
      <c r="N18" s="9"/>
      <c r="O18" s="5"/>
    </row>
    <row r="19" spans="1:15" s="13" customFormat="1" ht="60" x14ac:dyDescent="0.25">
      <c r="A19" s="13" t="s">
        <v>51</v>
      </c>
      <c r="B19" s="13" t="s">
        <v>19</v>
      </c>
      <c r="C19" s="21" t="s">
        <v>178</v>
      </c>
      <c r="D19" s="23">
        <v>220.62</v>
      </c>
      <c r="E19" s="14">
        <f>D19</f>
        <v>220.62</v>
      </c>
      <c r="F19" s="23">
        <v>0</v>
      </c>
      <c r="H19" s="14"/>
      <c r="I19" s="14"/>
      <c r="J19" s="17"/>
      <c r="K19" s="14"/>
      <c r="L19" s="14"/>
      <c r="M19" s="14"/>
      <c r="N19" s="17"/>
      <c r="O19" s="14"/>
    </row>
    <row r="20" spans="1:15" s="4" customFormat="1" x14ac:dyDescent="0.25">
      <c r="B20" s="4" t="s">
        <v>177</v>
      </c>
      <c r="C20" s="39"/>
      <c r="D20" s="40">
        <f>SUM(D19)</f>
        <v>220.62</v>
      </c>
      <c r="E20" s="5">
        <f>SUM(E19)</f>
        <v>220.62</v>
      </c>
      <c r="F20" s="40">
        <v>0</v>
      </c>
      <c r="H20" s="5"/>
      <c r="I20" s="5"/>
      <c r="J20" s="9"/>
      <c r="K20" s="5"/>
      <c r="L20" s="5"/>
      <c r="M20" s="5"/>
      <c r="N20" s="9"/>
      <c r="O20" s="5"/>
    </row>
    <row r="21" spans="1:15" s="44" customFormat="1" ht="45" x14ac:dyDescent="0.25">
      <c r="A21" s="44" t="s">
        <v>48</v>
      </c>
      <c r="B21" s="44" t="s">
        <v>42</v>
      </c>
      <c r="C21" s="51" t="s">
        <v>167</v>
      </c>
      <c r="D21" s="45">
        <v>47.32</v>
      </c>
      <c r="E21" s="45">
        <f>D21</f>
        <v>47.32</v>
      </c>
      <c r="F21" s="54">
        <v>0</v>
      </c>
      <c r="H21" s="45"/>
      <c r="I21" s="45"/>
      <c r="J21" s="48"/>
      <c r="K21" s="45"/>
      <c r="L21" s="45"/>
      <c r="M21" s="45"/>
      <c r="N21" s="48"/>
      <c r="O21" s="45"/>
    </row>
    <row r="22" spans="1:15" s="44" customFormat="1" ht="45" x14ac:dyDescent="0.25">
      <c r="A22" s="44" t="s">
        <v>48</v>
      </c>
      <c r="B22" s="44" t="s">
        <v>43</v>
      </c>
      <c r="C22" s="51" t="s">
        <v>167</v>
      </c>
      <c r="D22" s="45">
        <v>11.78</v>
      </c>
      <c r="E22" s="45">
        <f t="shared" ref="E22:E24" si="2">D22</f>
        <v>11.78</v>
      </c>
      <c r="F22" s="54">
        <v>0</v>
      </c>
      <c r="H22" s="45"/>
      <c r="I22" s="45"/>
      <c r="J22" s="48"/>
      <c r="K22" s="45"/>
      <c r="L22" s="45"/>
      <c r="M22" s="45"/>
      <c r="N22" s="48"/>
      <c r="O22" s="45"/>
    </row>
    <row r="23" spans="1:15" s="44" customFormat="1" ht="45" x14ac:dyDescent="0.25">
      <c r="A23" s="44" t="s">
        <v>48</v>
      </c>
      <c r="B23" s="44" t="s">
        <v>19</v>
      </c>
      <c r="C23" s="51" t="s">
        <v>167</v>
      </c>
      <c r="D23" s="45">
        <v>2.2799999999999998</v>
      </c>
      <c r="E23" s="45">
        <f t="shared" si="2"/>
        <v>2.2799999999999998</v>
      </c>
      <c r="F23" s="54">
        <v>0</v>
      </c>
      <c r="H23" s="45"/>
      <c r="I23" s="45"/>
      <c r="J23" s="48"/>
      <c r="K23" s="45"/>
      <c r="L23" s="45"/>
      <c r="M23" s="45"/>
      <c r="N23" s="48"/>
      <c r="O23" s="45"/>
    </row>
    <row r="24" spans="1:15" s="44" customFormat="1" ht="45" x14ac:dyDescent="0.25">
      <c r="A24" s="44" t="s">
        <v>48</v>
      </c>
      <c r="B24" s="44" t="s">
        <v>19</v>
      </c>
      <c r="C24" s="51" t="s">
        <v>167</v>
      </c>
      <c r="D24" s="45">
        <v>2.2799999999999998</v>
      </c>
      <c r="E24" s="45">
        <f t="shared" si="2"/>
        <v>2.2799999999999998</v>
      </c>
      <c r="F24" s="54">
        <v>0</v>
      </c>
      <c r="H24" s="45"/>
      <c r="I24" s="45"/>
      <c r="J24" s="48"/>
      <c r="K24" s="45"/>
      <c r="L24" s="45"/>
      <c r="M24" s="45"/>
      <c r="N24" s="48"/>
      <c r="O24" s="45"/>
    </row>
    <row r="25" spans="1:15" s="44" customFormat="1" ht="45" x14ac:dyDescent="0.25">
      <c r="A25" s="44" t="s">
        <v>48</v>
      </c>
      <c r="B25" s="44" t="s">
        <v>27</v>
      </c>
      <c r="C25" s="51" t="s">
        <v>168</v>
      </c>
      <c r="D25" s="45">
        <v>17.28</v>
      </c>
      <c r="E25" s="45">
        <v>0</v>
      </c>
      <c r="F25" s="54">
        <f>D25</f>
        <v>17.28</v>
      </c>
      <c r="H25" s="45"/>
      <c r="I25" s="45"/>
      <c r="J25" s="48"/>
      <c r="K25" s="45"/>
      <c r="L25" s="45"/>
      <c r="M25" s="45"/>
      <c r="N25" s="48"/>
      <c r="O25" s="45"/>
    </row>
    <row r="26" spans="1:15" s="44" customFormat="1" ht="45" x14ac:dyDescent="0.25">
      <c r="A26" s="44" t="s">
        <v>48</v>
      </c>
      <c r="B26" s="44" t="s">
        <v>28</v>
      </c>
      <c r="C26" s="51" t="s">
        <v>168</v>
      </c>
      <c r="D26" s="45">
        <v>3.74</v>
      </c>
      <c r="E26" s="45">
        <v>0</v>
      </c>
      <c r="F26" s="54">
        <f t="shared" ref="F26:F31" si="3">D26</f>
        <v>3.74</v>
      </c>
      <c r="H26" s="45"/>
      <c r="I26" s="45"/>
      <c r="J26" s="48"/>
      <c r="K26" s="45"/>
      <c r="L26" s="45"/>
      <c r="M26" s="45"/>
      <c r="N26" s="48"/>
      <c r="O26" s="45"/>
    </row>
    <row r="27" spans="1:15" s="44" customFormat="1" ht="45" x14ac:dyDescent="0.25">
      <c r="A27" s="44" t="s">
        <v>48</v>
      </c>
      <c r="B27" s="44" t="s">
        <v>10</v>
      </c>
      <c r="C27" s="51" t="s">
        <v>168</v>
      </c>
      <c r="D27" s="45">
        <v>3.74</v>
      </c>
      <c r="E27" s="45">
        <v>0</v>
      </c>
      <c r="F27" s="54">
        <f t="shared" si="3"/>
        <v>3.74</v>
      </c>
      <c r="H27" s="45"/>
      <c r="I27" s="45"/>
      <c r="J27" s="48"/>
      <c r="K27" s="45"/>
      <c r="L27" s="45"/>
      <c r="M27" s="45"/>
      <c r="N27" s="48"/>
      <c r="O27" s="45"/>
    </row>
    <row r="28" spans="1:15" s="44" customFormat="1" ht="45" x14ac:dyDescent="0.25">
      <c r="A28" s="44" t="s">
        <v>48</v>
      </c>
      <c r="B28" s="44" t="s">
        <v>29</v>
      </c>
      <c r="C28" s="51" t="s">
        <v>168</v>
      </c>
      <c r="D28" s="45">
        <v>17.28</v>
      </c>
      <c r="E28" s="45">
        <v>0</v>
      </c>
      <c r="F28" s="54">
        <f t="shared" si="3"/>
        <v>17.28</v>
      </c>
      <c r="H28" s="45"/>
      <c r="I28" s="45"/>
      <c r="J28" s="48"/>
      <c r="K28" s="45"/>
      <c r="L28" s="45"/>
      <c r="M28" s="45"/>
      <c r="N28" s="48"/>
      <c r="O28" s="45"/>
    </row>
    <row r="29" spans="1:15" s="13" customFormat="1" ht="45" x14ac:dyDescent="0.25">
      <c r="A29" s="13" t="s">
        <v>46</v>
      </c>
      <c r="B29" s="13" t="s">
        <v>41</v>
      </c>
      <c r="C29" s="21" t="s">
        <v>166</v>
      </c>
      <c r="D29" s="14">
        <v>3.15</v>
      </c>
      <c r="E29" s="14">
        <v>0</v>
      </c>
      <c r="F29" s="23">
        <f t="shared" si="3"/>
        <v>3.15</v>
      </c>
      <c r="H29" s="14"/>
      <c r="I29" s="14"/>
      <c r="J29" s="17"/>
      <c r="K29" s="14"/>
      <c r="L29" s="14"/>
      <c r="M29" s="14"/>
      <c r="N29" s="14"/>
      <c r="O29" s="14"/>
    </row>
    <row r="30" spans="1:15" s="13" customFormat="1" ht="45" x14ac:dyDescent="0.25">
      <c r="A30" s="13" t="s">
        <v>47</v>
      </c>
      <c r="B30" s="13" t="s">
        <v>10</v>
      </c>
      <c r="C30" s="21" t="s">
        <v>166</v>
      </c>
      <c r="D30" s="14">
        <v>3.3</v>
      </c>
      <c r="E30" s="14">
        <v>0</v>
      </c>
      <c r="F30" s="23">
        <f t="shared" si="3"/>
        <v>3.3</v>
      </c>
      <c r="H30" s="14"/>
      <c r="I30" s="14"/>
      <c r="J30" s="17"/>
      <c r="K30" s="14"/>
      <c r="L30" s="14"/>
      <c r="M30" s="14"/>
      <c r="N30" s="17"/>
      <c r="O30" s="14"/>
    </row>
    <row r="31" spans="1:15" s="13" customFormat="1" ht="45" x14ac:dyDescent="0.25">
      <c r="A31" s="13" t="s">
        <v>47</v>
      </c>
      <c r="B31" s="13" t="s">
        <v>14</v>
      </c>
      <c r="C31" s="21" t="s">
        <v>166</v>
      </c>
      <c r="D31" s="14">
        <v>4.88</v>
      </c>
      <c r="E31" s="14">
        <v>0</v>
      </c>
      <c r="F31" s="23">
        <f t="shared" si="3"/>
        <v>4.88</v>
      </c>
      <c r="H31" s="14"/>
      <c r="I31" s="14"/>
      <c r="J31" s="17"/>
      <c r="K31" s="14"/>
      <c r="L31" s="14"/>
      <c r="M31" s="14"/>
      <c r="N31" s="17"/>
      <c r="O31" s="14"/>
    </row>
    <row r="32" spans="1:15" s="13" customFormat="1" ht="45" x14ac:dyDescent="0.25">
      <c r="A32" s="13" t="s">
        <v>47</v>
      </c>
      <c r="B32" s="13" t="s">
        <v>15</v>
      </c>
      <c r="C32" s="21" t="s">
        <v>166</v>
      </c>
      <c r="D32" s="14">
        <v>1.82</v>
      </c>
      <c r="E32" s="14">
        <f>D32</f>
        <v>1.82</v>
      </c>
      <c r="F32" s="23">
        <v>0</v>
      </c>
      <c r="H32" s="14"/>
      <c r="I32" s="14"/>
      <c r="J32" s="17"/>
      <c r="K32" s="14"/>
      <c r="L32" s="14"/>
      <c r="M32" s="14"/>
      <c r="N32" s="17"/>
      <c r="O32" s="14"/>
    </row>
    <row r="33" spans="1:18" s="13" customFormat="1" ht="45" x14ac:dyDescent="0.25">
      <c r="A33" s="13" t="s">
        <v>47</v>
      </c>
      <c r="B33" s="13" t="s">
        <v>41</v>
      </c>
      <c r="C33" s="21" t="s">
        <v>166</v>
      </c>
      <c r="D33" s="14">
        <v>1.95</v>
      </c>
      <c r="E33" s="14">
        <v>0</v>
      </c>
      <c r="F33" s="23">
        <f>D33</f>
        <v>1.95</v>
      </c>
      <c r="H33" s="14"/>
      <c r="I33" s="14"/>
      <c r="J33" s="17"/>
      <c r="K33" s="14"/>
      <c r="L33" s="14"/>
      <c r="M33" s="14"/>
      <c r="N33" s="17"/>
      <c r="O33" s="14"/>
    </row>
    <row r="34" spans="1:18" s="44" customFormat="1" ht="45" x14ac:dyDescent="0.25">
      <c r="A34" s="44" t="s">
        <v>48</v>
      </c>
      <c r="B34" s="44" t="s">
        <v>32</v>
      </c>
      <c r="C34" s="51" t="s">
        <v>166</v>
      </c>
      <c r="D34" s="45">
        <v>8.06</v>
      </c>
      <c r="E34" s="45">
        <f>D34</f>
        <v>8.06</v>
      </c>
      <c r="F34" s="54">
        <v>0</v>
      </c>
      <c r="H34" s="45"/>
      <c r="I34" s="45"/>
      <c r="J34" s="48"/>
      <c r="K34" s="45"/>
      <c r="L34" s="45"/>
      <c r="M34" s="45"/>
      <c r="N34" s="48"/>
      <c r="O34" s="45"/>
    </row>
    <row r="35" spans="1:18" s="44" customFormat="1" ht="45" x14ac:dyDescent="0.25">
      <c r="A35" s="44" t="s">
        <v>48</v>
      </c>
      <c r="B35" s="53" t="s">
        <v>21</v>
      </c>
      <c r="C35" s="51" t="s">
        <v>166</v>
      </c>
      <c r="D35" s="45">
        <v>25.34</v>
      </c>
      <c r="E35" s="45">
        <f t="shared" ref="E35:E38" si="4">D35</f>
        <v>25.34</v>
      </c>
      <c r="F35" s="54">
        <v>0</v>
      </c>
      <c r="H35" s="45"/>
      <c r="I35" s="45"/>
      <c r="J35" s="48"/>
      <c r="K35" s="45"/>
      <c r="L35" s="45"/>
      <c r="M35" s="45"/>
      <c r="N35" s="48"/>
      <c r="O35" s="45"/>
    </row>
    <row r="36" spans="1:18" s="44" customFormat="1" ht="45" x14ac:dyDescent="0.25">
      <c r="A36" s="44" t="s">
        <v>48</v>
      </c>
      <c r="B36" s="53" t="s">
        <v>3</v>
      </c>
      <c r="C36" s="51" t="s">
        <v>166</v>
      </c>
      <c r="D36" s="45">
        <v>8.0399999999999991</v>
      </c>
      <c r="E36" s="45">
        <f t="shared" si="4"/>
        <v>8.0399999999999991</v>
      </c>
      <c r="F36" s="54">
        <v>0</v>
      </c>
      <c r="H36" s="45"/>
      <c r="I36" s="45"/>
      <c r="J36" s="48"/>
      <c r="K36" s="45"/>
      <c r="L36" s="45"/>
      <c r="M36" s="45"/>
      <c r="N36" s="48"/>
      <c r="O36" s="45"/>
    </row>
    <row r="37" spans="1:18" s="44" customFormat="1" ht="45" x14ac:dyDescent="0.25">
      <c r="A37" s="44" t="s">
        <v>48</v>
      </c>
      <c r="B37" s="44" t="s">
        <v>19</v>
      </c>
      <c r="C37" s="51" t="s">
        <v>166</v>
      </c>
      <c r="D37" s="45">
        <v>8.0399999999999991</v>
      </c>
      <c r="E37" s="45">
        <f t="shared" si="4"/>
        <v>8.0399999999999991</v>
      </c>
      <c r="F37" s="54">
        <v>0</v>
      </c>
      <c r="H37" s="45"/>
      <c r="I37" s="45"/>
      <c r="J37" s="48"/>
      <c r="K37" s="45"/>
      <c r="L37" s="45"/>
      <c r="M37" s="45"/>
      <c r="N37" s="48"/>
      <c r="O37" s="45"/>
    </row>
    <row r="38" spans="1:18" s="44" customFormat="1" ht="45" x14ac:dyDescent="0.25">
      <c r="A38" s="44" t="s">
        <v>48</v>
      </c>
      <c r="B38" s="44" t="s">
        <v>15</v>
      </c>
      <c r="C38" s="51" t="s">
        <v>166</v>
      </c>
      <c r="D38" s="45">
        <v>2.2799999999999998</v>
      </c>
      <c r="E38" s="45">
        <f t="shared" si="4"/>
        <v>2.2799999999999998</v>
      </c>
      <c r="F38" s="54">
        <v>0</v>
      </c>
      <c r="H38" s="45"/>
      <c r="I38" s="45"/>
      <c r="J38" s="48"/>
      <c r="K38" s="45"/>
      <c r="L38" s="45"/>
      <c r="M38" s="45"/>
      <c r="N38" s="48"/>
      <c r="O38" s="45"/>
    </row>
    <row r="39" spans="1:18" s="44" customFormat="1" ht="45" x14ac:dyDescent="0.25">
      <c r="A39" s="44" t="s">
        <v>48</v>
      </c>
      <c r="B39" s="44" t="s">
        <v>72</v>
      </c>
      <c r="C39" s="51" t="s">
        <v>166</v>
      </c>
      <c r="D39" s="45">
        <v>3.74</v>
      </c>
      <c r="E39" s="45">
        <v>0</v>
      </c>
      <c r="F39" s="54">
        <f>D39</f>
        <v>3.74</v>
      </c>
      <c r="H39" s="45"/>
      <c r="I39" s="45"/>
      <c r="J39" s="48"/>
      <c r="K39" s="45"/>
      <c r="L39" s="45"/>
      <c r="M39" s="45"/>
      <c r="N39" s="48"/>
      <c r="O39" s="45"/>
    </row>
    <row r="40" spans="1:18" s="44" customFormat="1" ht="45" x14ac:dyDescent="0.25">
      <c r="A40" s="44" t="s">
        <v>48</v>
      </c>
      <c r="B40" s="44" t="s">
        <v>14</v>
      </c>
      <c r="C40" s="51" t="s">
        <v>166</v>
      </c>
      <c r="D40" s="45">
        <v>5.04</v>
      </c>
      <c r="E40" s="45">
        <v>0</v>
      </c>
      <c r="F40" s="54">
        <f>D40</f>
        <v>5.04</v>
      </c>
      <c r="H40" s="45"/>
      <c r="I40" s="45"/>
      <c r="J40" s="48"/>
      <c r="K40" s="45"/>
      <c r="L40" s="45"/>
      <c r="M40" s="45"/>
      <c r="N40" s="48"/>
      <c r="O40" s="45"/>
    </row>
    <row r="41" spans="1:18" s="44" customFormat="1" ht="45" x14ac:dyDescent="0.25">
      <c r="A41" s="44" t="s">
        <v>48</v>
      </c>
      <c r="B41" s="44" t="s">
        <v>33</v>
      </c>
      <c r="C41" s="51" t="s">
        <v>166</v>
      </c>
      <c r="D41" s="45">
        <v>10.32</v>
      </c>
      <c r="E41" s="45">
        <f>D41</f>
        <v>10.32</v>
      </c>
      <c r="F41" s="54">
        <v>0</v>
      </c>
      <c r="H41" s="45"/>
      <c r="I41" s="45"/>
      <c r="J41" s="48"/>
      <c r="K41" s="45"/>
      <c r="L41" s="45"/>
      <c r="M41" s="45"/>
      <c r="N41" s="48"/>
      <c r="O41" s="45"/>
    </row>
    <row r="42" spans="1:18" s="44" customFormat="1" ht="45" x14ac:dyDescent="0.25">
      <c r="A42" s="44" t="s">
        <v>49</v>
      </c>
      <c r="B42" s="53" t="s">
        <v>3</v>
      </c>
      <c r="C42" s="51" t="s">
        <v>166</v>
      </c>
      <c r="D42" s="45">
        <v>8.0399999999999991</v>
      </c>
      <c r="E42" s="45">
        <f t="shared" ref="E42:E46" si="5">D42</f>
        <v>8.0399999999999991</v>
      </c>
      <c r="F42" s="54">
        <v>0</v>
      </c>
      <c r="H42" s="45"/>
      <c r="I42" s="45"/>
      <c r="J42" s="48"/>
      <c r="K42" s="45"/>
      <c r="L42" s="45"/>
      <c r="M42" s="45"/>
      <c r="N42" s="48"/>
      <c r="O42" s="45"/>
    </row>
    <row r="43" spans="1:18" s="44" customFormat="1" ht="45" x14ac:dyDescent="0.25">
      <c r="A43" s="44" t="s">
        <v>49</v>
      </c>
      <c r="B43" s="44" t="s">
        <v>34</v>
      </c>
      <c r="C43" s="51" t="s">
        <v>166</v>
      </c>
      <c r="D43" s="45">
        <v>23.68</v>
      </c>
      <c r="E43" s="45">
        <f t="shared" si="5"/>
        <v>23.68</v>
      </c>
      <c r="F43" s="54">
        <v>0</v>
      </c>
      <c r="H43" s="45"/>
      <c r="I43" s="45"/>
      <c r="J43" s="48"/>
      <c r="K43" s="45"/>
      <c r="L43" s="45"/>
      <c r="M43" s="45"/>
      <c r="N43" s="48"/>
      <c r="O43" s="45"/>
    </row>
    <row r="44" spans="1:18" s="44" customFormat="1" ht="45" x14ac:dyDescent="0.25">
      <c r="A44" s="44" t="s">
        <v>49</v>
      </c>
      <c r="B44" s="44" t="s">
        <v>19</v>
      </c>
      <c r="C44" s="51" t="s">
        <v>166</v>
      </c>
      <c r="D44" s="45">
        <v>3.72</v>
      </c>
      <c r="E44" s="45">
        <f t="shared" si="5"/>
        <v>3.72</v>
      </c>
      <c r="F44" s="54">
        <v>0</v>
      </c>
      <c r="H44" s="45"/>
      <c r="I44" s="45"/>
      <c r="J44" s="48"/>
      <c r="K44" s="45"/>
      <c r="L44" s="45"/>
      <c r="M44" s="45"/>
      <c r="N44" s="48"/>
      <c r="O44" s="45"/>
    </row>
    <row r="45" spans="1:18" s="44" customFormat="1" ht="45" x14ac:dyDescent="0.25">
      <c r="A45" s="44" t="s">
        <v>49</v>
      </c>
      <c r="B45" s="44" t="s">
        <v>35</v>
      </c>
      <c r="C45" s="51" t="s">
        <v>166</v>
      </c>
      <c r="D45" s="45">
        <v>12</v>
      </c>
      <c r="E45" s="45">
        <f t="shared" si="5"/>
        <v>12</v>
      </c>
      <c r="F45" s="54">
        <v>0</v>
      </c>
      <c r="H45" s="45"/>
      <c r="I45" s="45"/>
      <c r="J45" s="48"/>
      <c r="K45" s="45"/>
      <c r="L45" s="45"/>
      <c r="M45" s="45"/>
      <c r="N45" s="48"/>
      <c r="O45" s="45"/>
    </row>
    <row r="46" spans="1:18" s="44" customFormat="1" ht="45" x14ac:dyDescent="0.25">
      <c r="A46" s="44" t="s">
        <v>49</v>
      </c>
      <c r="B46" s="44" t="s">
        <v>36</v>
      </c>
      <c r="C46" s="51" t="s">
        <v>166</v>
      </c>
      <c r="D46" s="45">
        <v>23.68</v>
      </c>
      <c r="E46" s="45">
        <f t="shared" si="5"/>
        <v>23.68</v>
      </c>
      <c r="F46" s="54">
        <v>0</v>
      </c>
      <c r="H46" s="45"/>
      <c r="I46" s="45"/>
      <c r="J46" s="48"/>
      <c r="K46" s="45"/>
      <c r="L46" s="45"/>
      <c r="M46" s="45"/>
      <c r="N46" s="48"/>
      <c r="O46" s="45"/>
    </row>
    <row r="47" spans="1:18" s="4" customFormat="1" x14ac:dyDescent="0.25">
      <c r="B47" s="4" t="s">
        <v>183</v>
      </c>
      <c r="C47" s="39"/>
      <c r="D47" s="5">
        <f>SUM(D21:D46)</f>
        <v>262.77999999999997</v>
      </c>
      <c r="E47" s="5">
        <f>SUM(E21:E46)</f>
        <v>198.68</v>
      </c>
      <c r="F47" s="40">
        <f>SUM(F21:F46)</f>
        <v>64.100000000000009</v>
      </c>
      <c r="H47" s="5"/>
      <c r="I47" s="5"/>
      <c r="J47" s="9"/>
      <c r="K47" s="5"/>
      <c r="L47" s="5"/>
      <c r="M47" s="5"/>
      <c r="N47" s="9"/>
      <c r="O47" s="5"/>
    </row>
    <row r="48" spans="1:18" s="20" customFormat="1" ht="45" x14ac:dyDescent="0.25">
      <c r="A48" s="13" t="s">
        <v>47</v>
      </c>
      <c r="B48" s="13" t="s">
        <v>7</v>
      </c>
      <c r="C48" s="21" t="s">
        <v>169</v>
      </c>
      <c r="D48" s="14">
        <v>22.25</v>
      </c>
      <c r="E48" s="14">
        <f>D48</f>
        <v>22.25</v>
      </c>
      <c r="F48" s="23">
        <v>0</v>
      </c>
      <c r="G48" s="13"/>
      <c r="H48" s="14"/>
      <c r="I48" s="14"/>
      <c r="J48" s="17"/>
      <c r="K48" s="14"/>
      <c r="L48" s="14"/>
      <c r="M48" s="14"/>
      <c r="N48" s="17"/>
      <c r="O48" s="14"/>
      <c r="P48" s="13"/>
      <c r="Q48" s="13"/>
      <c r="R48" s="13"/>
    </row>
    <row r="49" spans="1:18" s="19" customFormat="1" ht="45" x14ac:dyDescent="0.25">
      <c r="A49" s="13" t="s">
        <v>47</v>
      </c>
      <c r="B49" s="13" t="s">
        <v>8</v>
      </c>
      <c r="C49" s="21" t="s">
        <v>169</v>
      </c>
      <c r="D49" s="14">
        <v>22.67</v>
      </c>
      <c r="E49" s="14">
        <f t="shared" ref="E49:E65" si="6">D49</f>
        <v>22.67</v>
      </c>
      <c r="F49" s="23">
        <v>0</v>
      </c>
      <c r="G49" s="13"/>
      <c r="H49" s="14"/>
      <c r="I49" s="14"/>
      <c r="J49" s="17"/>
      <c r="K49" s="14"/>
      <c r="L49" s="14"/>
      <c r="M49" s="14"/>
      <c r="N49" s="17"/>
      <c r="O49" s="14"/>
      <c r="P49" s="13"/>
      <c r="Q49" s="13"/>
      <c r="R49" s="13"/>
    </row>
    <row r="50" spans="1:18" s="13" customFormat="1" ht="45" x14ac:dyDescent="0.25">
      <c r="A50" s="13" t="s">
        <v>47</v>
      </c>
      <c r="B50" s="13" t="s">
        <v>9</v>
      </c>
      <c r="C50" s="21" t="s">
        <v>169</v>
      </c>
      <c r="D50" s="14">
        <v>3.01</v>
      </c>
      <c r="E50" s="14">
        <f t="shared" si="6"/>
        <v>3.01</v>
      </c>
      <c r="F50" s="23">
        <v>0</v>
      </c>
      <c r="H50" s="14"/>
      <c r="I50" s="14"/>
      <c r="J50" s="17"/>
      <c r="K50" s="14"/>
      <c r="L50" s="14"/>
      <c r="M50" s="14"/>
      <c r="N50" s="17"/>
      <c r="O50" s="14"/>
    </row>
    <row r="51" spans="1:18" s="13" customFormat="1" ht="45" x14ac:dyDescent="0.25">
      <c r="A51" s="13" t="s">
        <v>47</v>
      </c>
      <c r="B51" s="13" t="s">
        <v>11</v>
      </c>
      <c r="C51" s="21" t="s">
        <v>169</v>
      </c>
      <c r="D51" s="14">
        <v>8.69</v>
      </c>
      <c r="E51" s="14">
        <f t="shared" si="6"/>
        <v>8.69</v>
      </c>
      <c r="F51" s="23">
        <v>0</v>
      </c>
      <c r="H51" s="14"/>
      <c r="I51" s="14"/>
      <c r="J51" s="17"/>
      <c r="K51" s="14"/>
      <c r="L51" s="14"/>
      <c r="M51" s="14"/>
      <c r="N51" s="17"/>
      <c r="O51" s="14"/>
    </row>
    <row r="52" spans="1:18" s="13" customFormat="1" ht="45" x14ac:dyDescent="0.25">
      <c r="A52" s="13" t="s">
        <v>47</v>
      </c>
      <c r="B52" s="13" t="s">
        <v>12</v>
      </c>
      <c r="C52" s="21" t="s">
        <v>169</v>
      </c>
      <c r="D52" s="14">
        <v>11.2</v>
      </c>
      <c r="E52" s="14">
        <f t="shared" si="6"/>
        <v>11.2</v>
      </c>
      <c r="F52" s="23">
        <v>0</v>
      </c>
      <c r="H52" s="14"/>
      <c r="I52" s="14"/>
      <c r="J52" s="17"/>
      <c r="K52" s="14"/>
      <c r="L52" s="14"/>
      <c r="M52" s="14"/>
      <c r="N52" s="17"/>
      <c r="O52" s="14"/>
    </row>
    <row r="53" spans="1:18" s="13" customFormat="1" ht="45" x14ac:dyDescent="0.25">
      <c r="A53" s="13" t="s">
        <v>47</v>
      </c>
      <c r="B53" s="13" t="s">
        <v>13</v>
      </c>
      <c r="C53" s="21" t="s">
        <v>169</v>
      </c>
      <c r="D53" s="14">
        <v>19.600000000000001</v>
      </c>
      <c r="E53" s="14">
        <f t="shared" si="6"/>
        <v>19.600000000000001</v>
      </c>
      <c r="F53" s="23">
        <v>0</v>
      </c>
      <c r="H53" s="14"/>
      <c r="I53" s="14"/>
      <c r="J53" s="17"/>
      <c r="K53" s="14"/>
      <c r="L53" s="14"/>
      <c r="M53" s="14"/>
      <c r="N53" s="17"/>
      <c r="O53" s="14"/>
    </row>
    <row r="54" spans="1:18" s="13" customFormat="1" ht="45" x14ac:dyDescent="0.25">
      <c r="A54" s="13" t="s">
        <v>47</v>
      </c>
      <c r="B54" s="13" t="s">
        <v>16</v>
      </c>
      <c r="C54" s="21" t="s">
        <v>169</v>
      </c>
      <c r="D54" s="14">
        <v>13.92</v>
      </c>
      <c r="E54" s="14">
        <f t="shared" si="6"/>
        <v>13.92</v>
      </c>
      <c r="F54" s="23">
        <v>0</v>
      </c>
      <c r="H54" s="14"/>
      <c r="I54" s="14"/>
      <c r="J54" s="17"/>
      <c r="K54" s="14"/>
      <c r="L54" s="14"/>
      <c r="M54" s="14"/>
      <c r="N54" s="17"/>
      <c r="O54" s="14"/>
    </row>
    <row r="55" spans="1:18" s="13" customFormat="1" ht="45" x14ac:dyDescent="0.25">
      <c r="A55" s="13" t="s">
        <v>47</v>
      </c>
      <c r="B55" s="13" t="s">
        <v>17</v>
      </c>
      <c r="C55" s="21" t="s">
        <v>169</v>
      </c>
      <c r="D55" s="14">
        <v>13.68</v>
      </c>
      <c r="E55" s="14">
        <f t="shared" si="6"/>
        <v>13.68</v>
      </c>
      <c r="F55" s="23">
        <v>0</v>
      </c>
      <c r="H55" s="14"/>
      <c r="I55" s="14"/>
      <c r="J55" s="17"/>
      <c r="K55" s="14"/>
      <c r="L55" s="14"/>
      <c r="M55" s="14"/>
      <c r="N55" s="17"/>
      <c r="O55" s="14"/>
    </row>
    <row r="56" spans="1:18" s="13" customFormat="1" ht="45" x14ac:dyDescent="0.25">
      <c r="A56" s="13" t="s">
        <v>47</v>
      </c>
      <c r="B56" s="13" t="s">
        <v>18</v>
      </c>
      <c r="C56" s="21" t="s">
        <v>169</v>
      </c>
      <c r="D56" s="14">
        <v>13.68</v>
      </c>
      <c r="E56" s="14">
        <f t="shared" si="6"/>
        <v>13.68</v>
      </c>
      <c r="F56" s="23">
        <v>0</v>
      </c>
      <c r="H56" s="14"/>
      <c r="I56" s="14"/>
      <c r="J56" s="17"/>
      <c r="K56" s="14"/>
      <c r="L56" s="14"/>
      <c r="M56" s="14"/>
      <c r="N56" s="17"/>
      <c r="O56" s="14"/>
    </row>
    <row r="57" spans="1:18" s="13" customFormat="1" ht="45" x14ac:dyDescent="0.25">
      <c r="A57" s="13" t="s">
        <v>47</v>
      </c>
      <c r="B57" s="13" t="s">
        <v>19</v>
      </c>
      <c r="C57" s="21" t="s">
        <v>169</v>
      </c>
      <c r="D57" s="14">
        <v>17.64</v>
      </c>
      <c r="E57" s="14">
        <f t="shared" si="6"/>
        <v>17.64</v>
      </c>
      <c r="F57" s="23">
        <v>0</v>
      </c>
      <c r="H57" s="14"/>
      <c r="I57" s="14"/>
      <c r="J57" s="17"/>
      <c r="K57" s="14"/>
      <c r="L57" s="14"/>
      <c r="M57" s="14"/>
      <c r="N57" s="17"/>
      <c r="O57" s="14"/>
    </row>
    <row r="58" spans="1:18" s="13" customFormat="1" ht="45" x14ac:dyDescent="0.25">
      <c r="A58" s="13" t="s">
        <v>47</v>
      </c>
      <c r="B58" s="13" t="s">
        <v>20</v>
      </c>
      <c r="C58" s="21" t="s">
        <v>169</v>
      </c>
      <c r="D58" s="14">
        <v>11</v>
      </c>
      <c r="E58" s="14">
        <f t="shared" si="6"/>
        <v>11</v>
      </c>
      <c r="F58" s="23">
        <v>0</v>
      </c>
      <c r="H58" s="14"/>
      <c r="I58" s="14"/>
      <c r="J58" s="17"/>
      <c r="K58" s="14"/>
      <c r="L58" s="14"/>
      <c r="M58" s="14"/>
      <c r="N58" s="17"/>
      <c r="O58" s="14"/>
    </row>
    <row r="59" spans="1:18" s="13" customFormat="1" ht="45" x14ac:dyDescent="0.25">
      <c r="A59" s="13" t="s">
        <v>47</v>
      </c>
      <c r="B59" s="13" t="s">
        <v>21</v>
      </c>
      <c r="C59" s="21" t="s">
        <v>169</v>
      </c>
      <c r="D59" s="14">
        <v>10.46</v>
      </c>
      <c r="E59" s="14">
        <f t="shared" si="6"/>
        <v>10.46</v>
      </c>
      <c r="F59" s="23">
        <v>0</v>
      </c>
      <c r="H59" s="14"/>
      <c r="I59" s="14"/>
      <c r="J59" s="17"/>
      <c r="K59" s="14"/>
      <c r="L59" s="14"/>
      <c r="M59" s="14"/>
      <c r="N59" s="17"/>
      <c r="O59" s="14"/>
    </row>
    <row r="60" spans="1:18" s="13" customFormat="1" ht="45" x14ac:dyDescent="0.25">
      <c r="A60" s="13" t="s">
        <v>47</v>
      </c>
      <c r="B60" s="13" t="s">
        <v>22</v>
      </c>
      <c r="C60" s="21" t="s">
        <v>169</v>
      </c>
      <c r="D60" s="14">
        <v>14.4</v>
      </c>
      <c r="E60" s="14">
        <f t="shared" si="6"/>
        <v>14.4</v>
      </c>
      <c r="F60" s="23">
        <v>0</v>
      </c>
      <c r="H60" s="14"/>
      <c r="I60" s="14"/>
      <c r="J60" s="17"/>
      <c r="K60" s="14"/>
      <c r="L60" s="14"/>
      <c r="M60" s="14"/>
      <c r="N60" s="17"/>
      <c r="O60" s="14"/>
    </row>
    <row r="61" spans="1:18" s="13" customFormat="1" ht="45" x14ac:dyDescent="0.25">
      <c r="A61" s="13" t="s">
        <v>47</v>
      </c>
      <c r="B61" s="13" t="s">
        <v>23</v>
      </c>
      <c r="C61" s="21" t="s">
        <v>169</v>
      </c>
      <c r="D61" s="14">
        <v>12.3</v>
      </c>
      <c r="E61" s="14">
        <f t="shared" si="6"/>
        <v>12.3</v>
      </c>
      <c r="F61" s="23">
        <v>0</v>
      </c>
      <c r="H61" s="14"/>
      <c r="I61" s="14"/>
      <c r="J61" s="17"/>
      <c r="K61" s="14"/>
      <c r="L61" s="14"/>
      <c r="M61" s="14"/>
      <c r="N61" s="17"/>
      <c r="O61" s="14"/>
    </row>
    <row r="62" spans="1:18" s="13" customFormat="1" ht="45" x14ac:dyDescent="0.25">
      <c r="A62" s="13" t="s">
        <v>47</v>
      </c>
      <c r="B62" s="13" t="s">
        <v>24</v>
      </c>
      <c r="C62" s="21" t="s">
        <v>169</v>
      </c>
      <c r="D62" s="14">
        <v>12</v>
      </c>
      <c r="E62" s="14">
        <f t="shared" si="6"/>
        <v>12</v>
      </c>
      <c r="F62" s="23">
        <v>0</v>
      </c>
      <c r="H62" s="14"/>
      <c r="I62" s="14"/>
      <c r="J62" s="17"/>
      <c r="K62" s="14"/>
      <c r="L62" s="14"/>
      <c r="M62" s="14"/>
      <c r="N62" s="17"/>
      <c r="O62" s="14"/>
    </row>
    <row r="63" spans="1:18" s="13" customFormat="1" ht="45" x14ac:dyDescent="0.25">
      <c r="A63" s="13" t="s">
        <v>47</v>
      </c>
      <c r="B63" s="13" t="s">
        <v>25</v>
      </c>
      <c r="C63" s="21" t="s">
        <v>169</v>
      </c>
      <c r="D63" s="14">
        <v>5.94</v>
      </c>
      <c r="E63" s="14">
        <f t="shared" si="6"/>
        <v>5.94</v>
      </c>
      <c r="F63" s="23">
        <v>0</v>
      </c>
      <c r="H63" s="14"/>
      <c r="I63" s="14"/>
      <c r="J63" s="17"/>
      <c r="K63" s="14"/>
      <c r="L63" s="14"/>
      <c r="M63" s="14"/>
      <c r="N63" s="17"/>
      <c r="O63" s="14"/>
    </row>
    <row r="64" spans="1:18" s="13" customFormat="1" ht="45" x14ac:dyDescent="0.25">
      <c r="A64" s="13" t="s">
        <v>47</v>
      </c>
      <c r="B64" s="13" t="s">
        <v>26</v>
      </c>
      <c r="C64" s="21" t="s">
        <v>169</v>
      </c>
      <c r="D64" s="14">
        <v>23.6</v>
      </c>
      <c r="E64" s="14">
        <f t="shared" si="6"/>
        <v>23.6</v>
      </c>
      <c r="F64" s="23">
        <v>0</v>
      </c>
      <c r="H64" s="14"/>
      <c r="I64" s="14"/>
      <c r="J64" s="17"/>
      <c r="K64" s="14"/>
      <c r="L64" s="14"/>
      <c r="M64" s="14"/>
      <c r="N64" s="17"/>
      <c r="O64" s="14"/>
    </row>
    <row r="65" spans="1:15" s="44" customFormat="1" ht="45" x14ac:dyDescent="0.25">
      <c r="A65" s="44" t="s">
        <v>48</v>
      </c>
      <c r="B65" s="44" t="s">
        <v>31</v>
      </c>
      <c r="C65" s="51" t="s">
        <v>184</v>
      </c>
      <c r="D65" s="45">
        <v>76.05</v>
      </c>
      <c r="E65" s="45">
        <f t="shared" si="6"/>
        <v>76.05</v>
      </c>
      <c r="F65" s="54">
        <v>0</v>
      </c>
      <c r="H65" s="45"/>
      <c r="I65" s="55"/>
      <c r="J65" s="48"/>
      <c r="K65" s="45"/>
      <c r="L65" s="45"/>
      <c r="M65" s="45"/>
      <c r="N65" s="48"/>
      <c r="O65" s="45"/>
    </row>
    <row r="66" spans="1:15" s="4" customFormat="1" x14ac:dyDescent="0.25">
      <c r="B66" s="4" t="s">
        <v>185</v>
      </c>
      <c r="C66" s="39"/>
      <c r="D66" s="5">
        <f>SUM(D48:D65)</f>
        <v>312.08999999999997</v>
      </c>
      <c r="E66" s="5">
        <f>SUM(E48:E65)</f>
        <v>312.08999999999997</v>
      </c>
      <c r="F66" s="40">
        <v>0</v>
      </c>
      <c r="H66" s="5"/>
      <c r="I66" s="5"/>
      <c r="J66" s="9"/>
      <c r="K66" s="5"/>
      <c r="L66" s="5"/>
      <c r="M66" s="5"/>
      <c r="N66" s="9"/>
      <c r="O66" s="5"/>
    </row>
    <row r="67" spans="1:15" s="13" customFormat="1" x14ac:dyDescent="0.25">
      <c r="C67" s="21"/>
      <c r="D67" s="14"/>
      <c r="E67" s="14"/>
      <c r="F67" s="23"/>
      <c r="H67" s="14"/>
      <c r="I67" s="14"/>
      <c r="J67" s="17"/>
      <c r="K67" s="14"/>
      <c r="L67" s="14"/>
      <c r="M67" s="14"/>
      <c r="N67" s="17"/>
      <c r="O67" s="14"/>
    </row>
    <row r="68" spans="1:15" s="4" customFormat="1" x14ac:dyDescent="0.25">
      <c r="B68" s="4" t="s">
        <v>1</v>
      </c>
      <c r="C68" s="39"/>
      <c r="D68" s="5"/>
      <c r="E68" s="5">
        <f>SUM(E4,E7,E13,E16,E18,E20,E47,E66)</f>
        <v>1257.68</v>
      </c>
      <c r="F68" s="40">
        <f>SUM(F4,F7,F13,F16,F18,F20,F47,F66)</f>
        <v>64.100000000000009</v>
      </c>
      <c r="H68" s="5"/>
      <c r="I68" s="5"/>
      <c r="J68" s="9"/>
      <c r="K68" s="5"/>
      <c r="L68" s="5"/>
      <c r="M68" s="5"/>
      <c r="N68" s="9"/>
      <c r="O68" s="5"/>
    </row>
    <row r="69" spans="1:15" s="13" customFormat="1" x14ac:dyDescent="0.25">
      <c r="C69" s="21"/>
      <c r="D69" s="14"/>
      <c r="E69" s="14"/>
      <c r="F69" s="23"/>
      <c r="H69" s="14"/>
      <c r="I69" s="14"/>
      <c r="J69" s="17"/>
      <c r="K69" s="14"/>
      <c r="L69" s="14"/>
      <c r="M69" s="14"/>
      <c r="N69" s="17"/>
      <c r="O69" s="14"/>
    </row>
    <row r="70" spans="1:15" s="13" customFormat="1" x14ac:dyDescent="0.25">
      <c r="A70" s="28" t="s">
        <v>189</v>
      </c>
      <c r="B70" s="28" t="s">
        <v>94</v>
      </c>
      <c r="C70" s="21"/>
      <c r="D70" s="14"/>
      <c r="E70" s="14"/>
      <c r="F70" s="14"/>
      <c r="H70" s="14"/>
      <c r="I70" s="14"/>
      <c r="J70" s="17"/>
      <c r="K70" s="14"/>
      <c r="L70" s="14"/>
      <c r="M70" s="14"/>
      <c r="N70" s="17"/>
      <c r="O70" s="14"/>
    </row>
    <row r="71" spans="1:15" s="13" customFormat="1" ht="30" x14ac:dyDescent="0.25">
      <c r="A71" s="21" t="s">
        <v>190</v>
      </c>
      <c r="B71" s="13">
        <f>0.8+0.8+0.9+0.9+1+0.9+0.9+2+1.9+0.8+0.8+0.8+0.8+0.9+2</f>
        <v>16.200000000000003</v>
      </c>
      <c r="D71" s="14"/>
      <c r="E71" s="14"/>
      <c r="F71" s="14"/>
      <c r="H71" s="14"/>
      <c r="I71" s="14"/>
      <c r="J71" s="17"/>
      <c r="K71" s="14"/>
      <c r="L71" s="14"/>
      <c r="M71" s="14"/>
      <c r="N71" s="17"/>
      <c r="O71" s="14"/>
    </row>
    <row r="73" spans="1:15" x14ac:dyDescent="0.25">
      <c r="A73" s="72"/>
      <c r="B73" s="72"/>
    </row>
    <row r="74" spans="1:15" x14ac:dyDescent="0.25">
      <c r="A74" s="13"/>
      <c r="B74" s="13"/>
    </row>
  </sheetData>
  <sortState xmlns:xlrd2="http://schemas.microsoft.com/office/spreadsheetml/2017/richdata2" ref="A3:R71">
    <sortCondition ref="C3:C71"/>
  </sortState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0948-31C7-4D48-8CC7-D7C944EF9D2B}">
  <dimension ref="A2:U63"/>
  <sheetViews>
    <sheetView zoomScale="85" zoomScaleNormal="85" workbookViewId="0">
      <pane ySplit="1" topLeftCell="A2" activePane="bottomLeft" state="frozen"/>
      <selection pane="bottomLeft" activeCell="Y15" sqref="Y15"/>
    </sheetView>
  </sheetViews>
  <sheetFormatPr defaultRowHeight="15" x14ac:dyDescent="0.25"/>
  <cols>
    <col min="1" max="1" width="18.85546875" bestFit="1" customWidth="1"/>
    <col min="2" max="2" width="34.7109375" bestFit="1" customWidth="1"/>
    <col min="3" max="3" width="10" style="1" bestFit="1" customWidth="1"/>
    <col min="4" max="4" width="11.42578125" style="1" customWidth="1"/>
    <col min="5" max="6" width="11.7109375" style="1" customWidth="1"/>
    <col min="7" max="9" width="10" style="1" customWidth="1"/>
    <col min="10" max="10" width="10.42578125" customWidth="1"/>
    <col min="11" max="11" width="24.85546875" style="1" bestFit="1" customWidth="1"/>
    <col min="14" max="14" width="10" style="1" customWidth="1"/>
    <col min="15" max="15" width="9.140625" style="1"/>
    <col min="16" max="16" width="9.140625" style="8"/>
    <col min="17" max="17" width="9.140625" style="1"/>
    <col min="18" max="18" width="9.5703125" style="1" customWidth="1"/>
    <col min="19" max="19" width="9.140625" style="1"/>
    <col min="20" max="20" width="9.140625" style="8"/>
    <col min="21" max="21" width="9.140625" style="1"/>
  </cols>
  <sheetData>
    <row r="2" spans="1:21" s="2" customFormat="1" ht="51" customHeight="1" x14ac:dyDescent="0.25">
      <c r="A2" s="2" t="s">
        <v>148</v>
      </c>
      <c r="B2" s="2" t="s">
        <v>37</v>
      </c>
      <c r="C2" s="3" t="s">
        <v>38</v>
      </c>
      <c r="D2" s="3" t="s">
        <v>39</v>
      </c>
      <c r="E2" s="3" t="s">
        <v>44</v>
      </c>
      <c r="F2" s="3" t="s">
        <v>45</v>
      </c>
      <c r="G2" s="3" t="s">
        <v>77</v>
      </c>
      <c r="H2" s="3" t="s">
        <v>78</v>
      </c>
      <c r="I2" s="3" t="s">
        <v>76</v>
      </c>
      <c r="J2" s="2" t="s">
        <v>71</v>
      </c>
      <c r="M2" s="6"/>
      <c r="N2" s="3"/>
      <c r="O2" s="3"/>
      <c r="P2" s="7"/>
      <c r="Q2" s="3"/>
      <c r="R2" s="3"/>
      <c r="S2" s="3"/>
      <c r="T2" s="7"/>
      <c r="U2" s="3"/>
    </row>
    <row r="3" spans="1:21" s="13" customFormat="1" x14ac:dyDescent="0.25">
      <c r="A3" s="13" t="s">
        <v>46</v>
      </c>
      <c r="B3" s="13" t="s">
        <v>2</v>
      </c>
      <c r="C3" s="14">
        <v>46.86</v>
      </c>
      <c r="D3" s="14">
        <v>31.65</v>
      </c>
      <c r="E3" s="15">
        <v>0</v>
      </c>
      <c r="F3" s="15">
        <f>C3-E3</f>
        <v>46.86</v>
      </c>
      <c r="G3" s="16" t="s">
        <v>70</v>
      </c>
      <c r="H3" s="16" t="str">
        <f>G3</f>
        <v>NÃO</v>
      </c>
      <c r="I3" s="16">
        <f>F3</f>
        <v>46.86</v>
      </c>
      <c r="J3" s="14">
        <f>F3</f>
        <v>46.86</v>
      </c>
      <c r="K3" s="14"/>
      <c r="N3" s="14"/>
      <c r="O3" s="14"/>
      <c r="P3" s="17"/>
      <c r="Q3" s="14"/>
      <c r="R3" s="14"/>
      <c r="S3" s="14"/>
      <c r="T3" s="14"/>
      <c r="U3" s="14"/>
    </row>
    <row r="4" spans="1:21" s="13" customFormat="1" x14ac:dyDescent="0.25">
      <c r="A4" s="13" t="s">
        <v>46</v>
      </c>
      <c r="B4" s="13" t="s">
        <v>3</v>
      </c>
      <c r="C4" s="14">
        <v>12.87</v>
      </c>
      <c r="D4" s="14">
        <v>15.3</v>
      </c>
      <c r="E4" s="15">
        <v>8.25</v>
      </c>
      <c r="F4" s="15">
        <f t="shared" ref="F4:F61" si="0">C4-E4</f>
        <v>4.6199999999999992</v>
      </c>
      <c r="G4" s="14">
        <f t="shared" ref="G4:G61" si="1">C4-E4</f>
        <v>4.6199999999999992</v>
      </c>
      <c r="H4" s="14">
        <f t="shared" ref="H4:H61" si="2">G4</f>
        <v>4.6199999999999992</v>
      </c>
      <c r="I4" s="16" t="s">
        <v>70</v>
      </c>
      <c r="J4" s="14">
        <f t="shared" ref="J4:J61" si="3">F4</f>
        <v>4.6199999999999992</v>
      </c>
      <c r="K4" s="14"/>
      <c r="N4" s="14"/>
      <c r="O4" s="14"/>
      <c r="P4" s="17"/>
      <c r="Q4" s="14"/>
      <c r="R4" s="14"/>
      <c r="S4" s="14"/>
      <c r="T4" s="14"/>
      <c r="U4" s="14"/>
    </row>
    <row r="5" spans="1:21" s="13" customFormat="1" x14ac:dyDescent="0.25">
      <c r="A5" s="13" t="s">
        <v>46</v>
      </c>
      <c r="B5" s="13" t="s">
        <v>4</v>
      </c>
      <c r="C5" s="14">
        <v>34.770000000000003</v>
      </c>
      <c r="D5" s="14">
        <v>24.9</v>
      </c>
      <c r="E5" s="15">
        <v>0</v>
      </c>
      <c r="F5" s="15">
        <f t="shared" si="0"/>
        <v>34.770000000000003</v>
      </c>
      <c r="G5" s="14">
        <f t="shared" si="1"/>
        <v>34.770000000000003</v>
      </c>
      <c r="H5" s="14">
        <f t="shared" si="2"/>
        <v>34.770000000000003</v>
      </c>
      <c r="I5" s="16" t="s">
        <v>70</v>
      </c>
      <c r="J5" s="14">
        <f t="shared" si="3"/>
        <v>34.770000000000003</v>
      </c>
      <c r="K5" s="14"/>
      <c r="N5" s="18"/>
      <c r="O5" s="14"/>
      <c r="P5" s="17"/>
      <c r="Q5" s="14"/>
      <c r="R5" s="14"/>
      <c r="S5" s="14"/>
      <c r="T5" s="14"/>
      <c r="U5" s="14"/>
    </row>
    <row r="6" spans="1:21" s="13" customFormat="1" x14ac:dyDescent="0.25">
      <c r="A6" s="13" t="s">
        <v>46</v>
      </c>
      <c r="B6" s="13" t="s">
        <v>41</v>
      </c>
      <c r="C6" s="14">
        <v>3.15</v>
      </c>
      <c r="D6" s="14">
        <v>7.2</v>
      </c>
      <c r="E6" s="15">
        <v>0</v>
      </c>
      <c r="F6" s="15">
        <f t="shared" si="0"/>
        <v>3.15</v>
      </c>
      <c r="G6" s="14">
        <f t="shared" si="1"/>
        <v>3.15</v>
      </c>
      <c r="H6" s="14">
        <f t="shared" si="2"/>
        <v>3.15</v>
      </c>
      <c r="I6" s="16" t="s">
        <v>70</v>
      </c>
      <c r="J6" s="14">
        <f t="shared" si="3"/>
        <v>3.15</v>
      </c>
      <c r="K6" s="14"/>
      <c r="N6" s="14"/>
      <c r="O6" s="14"/>
      <c r="P6" s="17"/>
      <c r="Q6" s="14"/>
      <c r="R6" s="14"/>
      <c r="S6" s="14"/>
      <c r="T6" s="14"/>
      <c r="U6" s="14"/>
    </row>
    <row r="7" spans="1:21" s="13" customFormat="1" x14ac:dyDescent="0.25">
      <c r="A7" s="13" t="s">
        <v>46</v>
      </c>
      <c r="B7" s="20" t="s">
        <v>5</v>
      </c>
      <c r="C7" s="14">
        <v>61.25</v>
      </c>
      <c r="D7" s="14">
        <v>34.799999999999997</v>
      </c>
      <c r="E7" s="15">
        <v>0</v>
      </c>
      <c r="F7" s="15">
        <f t="shared" si="0"/>
        <v>61.25</v>
      </c>
      <c r="G7" s="14">
        <f t="shared" si="1"/>
        <v>61.25</v>
      </c>
      <c r="H7" s="14">
        <f t="shared" si="2"/>
        <v>61.25</v>
      </c>
      <c r="I7" s="16" t="s">
        <v>70</v>
      </c>
      <c r="J7" s="16">
        <v>61.25</v>
      </c>
      <c r="K7" s="14"/>
      <c r="N7" s="14"/>
      <c r="O7" s="14"/>
      <c r="P7" s="17"/>
      <c r="Q7" s="14"/>
      <c r="R7" s="14"/>
      <c r="S7" s="14"/>
      <c r="T7" s="17"/>
      <c r="U7" s="14"/>
    </row>
    <row r="8" spans="1:21" s="13" customFormat="1" x14ac:dyDescent="0.25">
      <c r="A8" s="13" t="s">
        <v>46</v>
      </c>
      <c r="B8" s="13" t="s">
        <v>6</v>
      </c>
      <c r="C8" s="14">
        <v>96.89</v>
      </c>
      <c r="D8" s="14">
        <v>16.399999999999999</v>
      </c>
      <c r="E8" s="15">
        <v>0</v>
      </c>
      <c r="F8" s="15">
        <f t="shared" si="0"/>
        <v>96.89</v>
      </c>
      <c r="G8" s="14">
        <f t="shared" si="1"/>
        <v>96.89</v>
      </c>
      <c r="H8" s="14">
        <f t="shared" si="2"/>
        <v>96.89</v>
      </c>
      <c r="I8" s="16" t="s">
        <v>70</v>
      </c>
      <c r="J8" s="14">
        <f t="shared" si="3"/>
        <v>96.89</v>
      </c>
      <c r="K8" s="14"/>
      <c r="N8" s="18"/>
      <c r="O8" s="14"/>
      <c r="P8" s="17"/>
      <c r="Q8" s="14"/>
      <c r="R8" s="14"/>
      <c r="S8" s="14"/>
      <c r="T8" s="17"/>
      <c r="U8" s="14"/>
    </row>
    <row r="9" spans="1:21" s="13" customFormat="1" x14ac:dyDescent="0.25">
      <c r="C9" s="14"/>
      <c r="D9" s="14"/>
      <c r="E9" s="15"/>
      <c r="F9" s="15"/>
      <c r="G9" s="14"/>
      <c r="H9" s="14"/>
      <c r="I9" s="16"/>
      <c r="J9" s="14"/>
      <c r="K9" s="14"/>
      <c r="N9" s="14"/>
      <c r="O9" s="14"/>
      <c r="P9" s="17"/>
      <c r="Q9" s="14"/>
      <c r="R9" s="14"/>
      <c r="S9" s="14"/>
      <c r="T9" s="17"/>
      <c r="U9" s="14"/>
    </row>
    <row r="10" spans="1:21" s="13" customFormat="1" x14ac:dyDescent="0.25">
      <c r="A10" s="13" t="s">
        <v>47</v>
      </c>
      <c r="B10" s="13" t="s">
        <v>7</v>
      </c>
      <c r="C10" s="14">
        <v>22.25</v>
      </c>
      <c r="D10" s="14">
        <v>11.1</v>
      </c>
      <c r="E10" s="15">
        <v>0</v>
      </c>
      <c r="F10" s="15">
        <f t="shared" si="0"/>
        <v>22.25</v>
      </c>
      <c r="G10" s="14">
        <f t="shared" si="1"/>
        <v>22.25</v>
      </c>
      <c r="H10" s="14">
        <f t="shared" si="2"/>
        <v>22.25</v>
      </c>
      <c r="I10" s="16" t="s">
        <v>70</v>
      </c>
      <c r="J10" s="14">
        <f t="shared" si="3"/>
        <v>22.25</v>
      </c>
      <c r="K10" s="14"/>
      <c r="N10" s="14"/>
      <c r="O10" s="14"/>
      <c r="P10" s="17"/>
      <c r="Q10" s="14"/>
      <c r="R10" s="14"/>
      <c r="S10" s="14"/>
      <c r="T10" s="17"/>
      <c r="U10" s="14"/>
    </row>
    <row r="11" spans="1:21" s="13" customFormat="1" x14ac:dyDescent="0.25">
      <c r="A11" s="13" t="s">
        <v>47</v>
      </c>
      <c r="B11" s="13" t="s">
        <v>8</v>
      </c>
      <c r="C11" s="14">
        <v>22.67</v>
      </c>
      <c r="D11" s="14">
        <v>19.899999999999999</v>
      </c>
      <c r="E11" s="15">
        <v>0</v>
      </c>
      <c r="F11" s="15">
        <f t="shared" si="0"/>
        <v>22.67</v>
      </c>
      <c r="G11" s="14">
        <f t="shared" si="1"/>
        <v>22.67</v>
      </c>
      <c r="H11" s="14">
        <f t="shared" si="2"/>
        <v>22.67</v>
      </c>
      <c r="I11" s="16" t="s">
        <v>70</v>
      </c>
      <c r="J11" s="14">
        <f t="shared" si="3"/>
        <v>22.67</v>
      </c>
      <c r="K11" s="14"/>
      <c r="N11" s="14"/>
      <c r="O11" s="14"/>
      <c r="P11" s="17"/>
      <c r="Q11" s="14"/>
      <c r="R11" s="14"/>
      <c r="S11" s="14"/>
      <c r="T11" s="17"/>
      <c r="U11" s="14"/>
    </row>
    <row r="12" spans="1:21" s="13" customFormat="1" x14ac:dyDescent="0.25">
      <c r="A12" s="13" t="s">
        <v>47</v>
      </c>
      <c r="B12" s="13" t="s">
        <v>9</v>
      </c>
      <c r="C12" s="14">
        <v>3.01</v>
      </c>
      <c r="D12" s="14">
        <v>6.8</v>
      </c>
      <c r="E12" s="15">
        <v>0</v>
      </c>
      <c r="F12" s="15">
        <f t="shared" si="0"/>
        <v>3.01</v>
      </c>
      <c r="G12" s="14">
        <f t="shared" si="1"/>
        <v>3.01</v>
      </c>
      <c r="H12" s="14">
        <f t="shared" si="2"/>
        <v>3.01</v>
      </c>
      <c r="I12" s="16" t="s">
        <v>70</v>
      </c>
      <c r="J12" s="14">
        <f t="shared" si="3"/>
        <v>3.01</v>
      </c>
      <c r="K12" s="14"/>
      <c r="N12" s="14"/>
      <c r="O12" s="14"/>
      <c r="P12" s="17"/>
      <c r="Q12" s="14"/>
      <c r="R12" s="14"/>
      <c r="S12" s="14"/>
      <c r="T12" s="17"/>
      <c r="U12" s="14"/>
    </row>
    <row r="13" spans="1:21" s="13" customFormat="1" x14ac:dyDescent="0.25">
      <c r="A13" s="13" t="s">
        <v>47</v>
      </c>
      <c r="B13" s="13" t="s">
        <v>10</v>
      </c>
      <c r="C13" s="14">
        <v>3.3</v>
      </c>
      <c r="D13" s="14">
        <v>13.6</v>
      </c>
      <c r="E13" s="15">
        <v>0</v>
      </c>
      <c r="F13" s="15">
        <f t="shared" si="0"/>
        <v>3.3</v>
      </c>
      <c r="G13" s="14">
        <f t="shared" si="1"/>
        <v>3.3</v>
      </c>
      <c r="H13" s="14">
        <f t="shared" si="2"/>
        <v>3.3</v>
      </c>
      <c r="I13" s="16" t="s">
        <v>70</v>
      </c>
      <c r="J13" s="14">
        <f t="shared" si="3"/>
        <v>3.3</v>
      </c>
      <c r="K13" s="14"/>
      <c r="N13" s="14"/>
      <c r="O13" s="14"/>
      <c r="P13" s="17"/>
      <c r="Q13" s="14"/>
      <c r="R13" s="14"/>
      <c r="S13" s="14"/>
      <c r="T13" s="17"/>
      <c r="U13" s="14"/>
    </row>
    <row r="14" spans="1:21" s="13" customFormat="1" x14ac:dyDescent="0.25">
      <c r="A14" s="13" t="s">
        <v>47</v>
      </c>
      <c r="B14" s="13" t="s">
        <v>11</v>
      </c>
      <c r="C14" s="14">
        <v>8.69</v>
      </c>
      <c r="D14" s="14">
        <v>8.5</v>
      </c>
      <c r="E14" s="15">
        <v>0</v>
      </c>
      <c r="F14" s="15">
        <f t="shared" si="0"/>
        <v>8.69</v>
      </c>
      <c r="G14" s="14">
        <f t="shared" si="1"/>
        <v>8.69</v>
      </c>
      <c r="H14" s="14">
        <f t="shared" si="2"/>
        <v>8.69</v>
      </c>
      <c r="I14" s="16" t="s">
        <v>70</v>
      </c>
      <c r="J14" s="14">
        <f t="shared" si="3"/>
        <v>8.69</v>
      </c>
      <c r="K14" s="14"/>
      <c r="N14" s="14"/>
      <c r="O14" s="14"/>
      <c r="P14" s="17"/>
      <c r="Q14" s="14"/>
      <c r="R14" s="14"/>
      <c r="S14" s="14"/>
      <c r="T14" s="17"/>
      <c r="U14" s="14"/>
    </row>
    <row r="15" spans="1:21" s="13" customFormat="1" x14ac:dyDescent="0.25">
      <c r="A15" s="13" t="s">
        <v>47</v>
      </c>
      <c r="B15" s="13" t="s">
        <v>12</v>
      </c>
      <c r="C15" s="14">
        <v>11.2</v>
      </c>
      <c r="D15" s="14">
        <v>13.6</v>
      </c>
      <c r="E15" s="15">
        <v>0</v>
      </c>
      <c r="F15" s="15">
        <f t="shared" si="0"/>
        <v>11.2</v>
      </c>
      <c r="G15" s="14">
        <f t="shared" si="1"/>
        <v>11.2</v>
      </c>
      <c r="H15" s="14">
        <f t="shared" si="2"/>
        <v>11.2</v>
      </c>
      <c r="I15" s="16" t="s">
        <v>70</v>
      </c>
      <c r="J15" s="14">
        <f t="shared" si="3"/>
        <v>11.2</v>
      </c>
      <c r="K15" s="14"/>
      <c r="N15" s="14"/>
      <c r="O15" s="14"/>
      <c r="P15" s="17"/>
      <c r="Q15" s="14"/>
      <c r="R15" s="14"/>
      <c r="S15" s="14"/>
      <c r="T15" s="17"/>
      <c r="U15" s="14"/>
    </row>
    <row r="16" spans="1:21" s="13" customFormat="1" x14ac:dyDescent="0.25">
      <c r="A16" s="13" t="s">
        <v>47</v>
      </c>
      <c r="B16" s="13" t="s">
        <v>13</v>
      </c>
      <c r="C16" s="14">
        <v>19.600000000000001</v>
      </c>
      <c r="D16" s="14">
        <v>17.8</v>
      </c>
      <c r="E16" s="15">
        <v>0</v>
      </c>
      <c r="F16" s="15">
        <f t="shared" si="0"/>
        <v>19.600000000000001</v>
      </c>
      <c r="G16" s="14">
        <f t="shared" si="1"/>
        <v>19.600000000000001</v>
      </c>
      <c r="H16" s="14">
        <f t="shared" si="2"/>
        <v>19.600000000000001</v>
      </c>
      <c r="I16" s="16" t="s">
        <v>70</v>
      </c>
      <c r="J16" s="14">
        <f t="shared" si="3"/>
        <v>19.600000000000001</v>
      </c>
      <c r="K16" s="14"/>
      <c r="N16" s="14"/>
      <c r="O16" s="14"/>
      <c r="P16" s="17"/>
      <c r="Q16" s="14"/>
      <c r="R16" s="14"/>
      <c r="S16" s="14"/>
      <c r="T16" s="17"/>
      <c r="U16" s="14"/>
    </row>
    <row r="17" spans="1:21" s="13" customFormat="1" x14ac:dyDescent="0.25">
      <c r="A17" s="13" t="s">
        <v>47</v>
      </c>
      <c r="B17" s="13" t="s">
        <v>14</v>
      </c>
      <c r="C17" s="14">
        <v>4.88</v>
      </c>
      <c r="D17" s="14">
        <v>8.9</v>
      </c>
      <c r="E17" s="15">
        <v>0</v>
      </c>
      <c r="F17" s="15">
        <f t="shared" si="0"/>
        <v>4.88</v>
      </c>
      <c r="G17" s="14">
        <f t="shared" si="1"/>
        <v>4.88</v>
      </c>
      <c r="H17" s="14">
        <f t="shared" si="2"/>
        <v>4.88</v>
      </c>
      <c r="I17" s="16" t="s">
        <v>70</v>
      </c>
      <c r="J17" s="14">
        <f t="shared" si="3"/>
        <v>4.88</v>
      </c>
      <c r="K17" s="14"/>
      <c r="N17" s="14"/>
      <c r="O17" s="14"/>
      <c r="P17" s="17"/>
      <c r="Q17" s="14"/>
      <c r="R17" s="14"/>
      <c r="S17" s="14"/>
      <c r="T17" s="17"/>
      <c r="U17" s="14"/>
    </row>
    <row r="18" spans="1:21" s="13" customFormat="1" x14ac:dyDescent="0.25">
      <c r="A18" s="13" t="s">
        <v>47</v>
      </c>
      <c r="B18" s="13" t="s">
        <v>15</v>
      </c>
      <c r="C18" s="14">
        <v>1.82</v>
      </c>
      <c r="D18" s="14">
        <v>5</v>
      </c>
      <c r="E18" s="15">
        <v>0</v>
      </c>
      <c r="F18" s="15">
        <f t="shared" si="0"/>
        <v>1.82</v>
      </c>
      <c r="G18" s="16" t="s">
        <v>70</v>
      </c>
      <c r="H18" s="16" t="str">
        <f t="shared" si="2"/>
        <v>NÃO</v>
      </c>
      <c r="I18" s="16">
        <f>F18</f>
        <v>1.82</v>
      </c>
      <c r="J18" s="14">
        <f t="shared" si="3"/>
        <v>1.82</v>
      </c>
      <c r="K18" s="14"/>
      <c r="N18" s="14"/>
      <c r="O18" s="14"/>
      <c r="P18" s="17"/>
      <c r="Q18" s="14"/>
      <c r="R18" s="14"/>
      <c r="S18" s="14"/>
      <c r="T18" s="17"/>
      <c r="U18" s="14"/>
    </row>
    <row r="19" spans="1:21" s="13" customFormat="1" x14ac:dyDescent="0.25">
      <c r="A19" s="13" t="s">
        <v>47</v>
      </c>
      <c r="B19" s="13" t="s">
        <v>41</v>
      </c>
      <c r="C19" s="14">
        <v>1.95</v>
      </c>
      <c r="D19" s="14">
        <v>5.6</v>
      </c>
      <c r="E19" s="15">
        <v>0</v>
      </c>
      <c r="F19" s="15">
        <f t="shared" si="0"/>
        <v>1.95</v>
      </c>
      <c r="G19" s="16" t="s">
        <v>70</v>
      </c>
      <c r="H19" s="16" t="s">
        <v>70</v>
      </c>
      <c r="I19" s="16">
        <f>F19</f>
        <v>1.95</v>
      </c>
      <c r="J19" s="14">
        <f t="shared" si="3"/>
        <v>1.95</v>
      </c>
      <c r="K19" s="14"/>
      <c r="N19" s="14"/>
      <c r="O19" s="14"/>
      <c r="P19" s="17"/>
      <c r="Q19" s="14"/>
      <c r="R19" s="14"/>
      <c r="S19" s="14"/>
      <c r="T19" s="17"/>
      <c r="U19" s="14"/>
    </row>
    <row r="20" spans="1:21" s="13" customFormat="1" x14ac:dyDescent="0.25">
      <c r="A20" s="13" t="s">
        <v>47</v>
      </c>
      <c r="B20" s="13" t="s">
        <v>16</v>
      </c>
      <c r="C20" s="14">
        <v>13.92</v>
      </c>
      <c r="D20" s="14">
        <v>15.4</v>
      </c>
      <c r="E20" s="15">
        <v>0</v>
      </c>
      <c r="F20" s="15">
        <f t="shared" si="0"/>
        <v>13.92</v>
      </c>
      <c r="G20" s="14">
        <f t="shared" si="1"/>
        <v>13.92</v>
      </c>
      <c r="H20" s="14">
        <f t="shared" si="2"/>
        <v>13.92</v>
      </c>
      <c r="I20" s="16" t="s">
        <v>70</v>
      </c>
      <c r="J20" s="14">
        <f t="shared" si="3"/>
        <v>13.92</v>
      </c>
      <c r="K20" s="14"/>
      <c r="N20" s="14"/>
      <c r="O20" s="14"/>
      <c r="P20" s="17"/>
      <c r="Q20" s="14"/>
      <c r="R20" s="14"/>
      <c r="S20" s="14"/>
      <c r="T20" s="17"/>
      <c r="U20" s="14"/>
    </row>
    <row r="21" spans="1:21" s="13" customFormat="1" x14ac:dyDescent="0.25">
      <c r="A21" s="13" t="s">
        <v>47</v>
      </c>
      <c r="B21" s="13" t="s">
        <v>17</v>
      </c>
      <c r="C21" s="14">
        <v>13.68</v>
      </c>
      <c r="D21" s="14">
        <v>15.3</v>
      </c>
      <c r="E21" s="15">
        <v>0</v>
      </c>
      <c r="F21" s="15">
        <f t="shared" si="0"/>
        <v>13.68</v>
      </c>
      <c r="G21" s="14">
        <f t="shared" si="1"/>
        <v>13.68</v>
      </c>
      <c r="H21" s="14">
        <f t="shared" si="2"/>
        <v>13.68</v>
      </c>
      <c r="I21" s="16" t="s">
        <v>70</v>
      </c>
      <c r="J21" s="14">
        <f t="shared" si="3"/>
        <v>13.68</v>
      </c>
      <c r="K21" s="14"/>
      <c r="N21" s="14"/>
      <c r="O21" s="14"/>
      <c r="P21" s="17"/>
      <c r="Q21" s="14"/>
      <c r="R21" s="14"/>
      <c r="S21" s="14"/>
      <c r="T21" s="17"/>
      <c r="U21" s="14"/>
    </row>
    <row r="22" spans="1:21" s="13" customFormat="1" x14ac:dyDescent="0.25">
      <c r="A22" s="13" t="s">
        <v>47</v>
      </c>
      <c r="B22" s="13" t="s">
        <v>18</v>
      </c>
      <c r="C22" s="14">
        <v>13.68</v>
      </c>
      <c r="D22" s="14">
        <v>15.3</v>
      </c>
      <c r="E22" s="15">
        <v>0</v>
      </c>
      <c r="F22" s="15">
        <f t="shared" si="0"/>
        <v>13.68</v>
      </c>
      <c r="G22" s="14">
        <f t="shared" si="1"/>
        <v>13.68</v>
      </c>
      <c r="H22" s="14">
        <f t="shared" si="2"/>
        <v>13.68</v>
      </c>
      <c r="I22" s="16" t="s">
        <v>70</v>
      </c>
      <c r="J22" s="14">
        <f t="shared" si="3"/>
        <v>13.68</v>
      </c>
      <c r="K22" s="14"/>
      <c r="N22" s="14"/>
      <c r="O22" s="14"/>
      <c r="P22" s="17"/>
      <c r="Q22" s="14"/>
      <c r="R22" s="14"/>
      <c r="S22" s="14"/>
      <c r="T22" s="17"/>
      <c r="U22" s="14"/>
    </row>
    <row r="23" spans="1:21" s="13" customFormat="1" x14ac:dyDescent="0.25">
      <c r="A23" s="13" t="s">
        <v>47</v>
      </c>
      <c r="B23" s="13" t="s">
        <v>19</v>
      </c>
      <c r="C23" s="14">
        <v>17.64</v>
      </c>
      <c r="D23" s="14">
        <v>20.2</v>
      </c>
      <c r="E23" s="15">
        <v>0</v>
      </c>
      <c r="F23" s="15">
        <f t="shared" si="0"/>
        <v>17.64</v>
      </c>
      <c r="G23" s="14">
        <f t="shared" si="1"/>
        <v>17.64</v>
      </c>
      <c r="H23" s="14">
        <f t="shared" si="2"/>
        <v>17.64</v>
      </c>
      <c r="I23" s="16" t="s">
        <v>70</v>
      </c>
      <c r="J23" s="14">
        <f t="shared" si="3"/>
        <v>17.64</v>
      </c>
      <c r="K23" s="14"/>
      <c r="N23" s="14"/>
      <c r="O23" s="14"/>
      <c r="P23" s="17"/>
      <c r="Q23" s="14"/>
      <c r="R23" s="14"/>
      <c r="S23" s="14"/>
      <c r="T23" s="17"/>
      <c r="U23" s="14"/>
    </row>
    <row r="24" spans="1:21" s="13" customFormat="1" x14ac:dyDescent="0.25">
      <c r="A24" s="13" t="s">
        <v>47</v>
      </c>
      <c r="B24" s="13" t="s">
        <v>3</v>
      </c>
      <c r="C24" s="14">
        <v>11.25</v>
      </c>
      <c r="D24" s="14">
        <v>14</v>
      </c>
      <c r="E24" s="15">
        <v>0</v>
      </c>
      <c r="F24" s="15">
        <f t="shared" si="0"/>
        <v>11.25</v>
      </c>
      <c r="G24" s="14">
        <f t="shared" si="1"/>
        <v>11.25</v>
      </c>
      <c r="H24" s="14">
        <f t="shared" si="2"/>
        <v>11.25</v>
      </c>
      <c r="I24" s="16" t="s">
        <v>70</v>
      </c>
      <c r="J24" s="14">
        <f t="shared" si="3"/>
        <v>11.25</v>
      </c>
      <c r="K24" s="14"/>
      <c r="N24" s="14"/>
      <c r="O24" s="14"/>
      <c r="P24" s="17"/>
      <c r="Q24" s="14"/>
      <c r="R24" s="14"/>
      <c r="S24" s="14"/>
      <c r="T24" s="17"/>
      <c r="U24" s="14"/>
    </row>
    <row r="25" spans="1:21" s="13" customFormat="1" x14ac:dyDescent="0.25">
      <c r="A25" s="13" t="s">
        <v>47</v>
      </c>
      <c r="B25" s="13" t="s">
        <v>20</v>
      </c>
      <c r="C25" s="14">
        <v>11</v>
      </c>
      <c r="D25" s="14">
        <v>12.2</v>
      </c>
      <c r="E25" s="15">
        <v>0</v>
      </c>
      <c r="F25" s="15">
        <f t="shared" si="0"/>
        <v>11</v>
      </c>
      <c r="G25" s="14">
        <f t="shared" si="1"/>
        <v>11</v>
      </c>
      <c r="H25" s="14">
        <f t="shared" si="2"/>
        <v>11</v>
      </c>
      <c r="I25" s="16" t="s">
        <v>70</v>
      </c>
      <c r="J25" s="14">
        <f t="shared" si="3"/>
        <v>11</v>
      </c>
      <c r="K25" s="14"/>
      <c r="N25" s="14"/>
      <c r="O25" s="14"/>
      <c r="P25" s="17"/>
      <c r="Q25" s="14"/>
      <c r="R25" s="14"/>
      <c r="S25" s="14"/>
      <c r="T25" s="17"/>
      <c r="U25" s="14"/>
    </row>
    <row r="26" spans="1:21" s="13" customFormat="1" x14ac:dyDescent="0.25">
      <c r="A26" s="13" t="s">
        <v>47</v>
      </c>
      <c r="B26" s="13" t="s">
        <v>21</v>
      </c>
      <c r="C26" s="14">
        <v>10.46</v>
      </c>
      <c r="D26" s="14">
        <v>11.5</v>
      </c>
      <c r="E26" s="15">
        <v>0</v>
      </c>
      <c r="F26" s="15">
        <f t="shared" si="0"/>
        <v>10.46</v>
      </c>
      <c r="G26" s="14">
        <f t="shared" si="1"/>
        <v>10.46</v>
      </c>
      <c r="H26" s="14">
        <f t="shared" si="2"/>
        <v>10.46</v>
      </c>
      <c r="I26" s="16" t="s">
        <v>70</v>
      </c>
      <c r="J26" s="14">
        <f t="shared" si="3"/>
        <v>10.46</v>
      </c>
      <c r="K26" s="14"/>
      <c r="N26" s="14"/>
      <c r="O26" s="14"/>
      <c r="P26" s="17"/>
      <c r="Q26" s="14"/>
      <c r="R26" s="14"/>
      <c r="S26" s="14"/>
      <c r="T26" s="17"/>
      <c r="U26" s="14"/>
    </row>
    <row r="27" spans="1:21" s="13" customFormat="1" x14ac:dyDescent="0.25">
      <c r="A27" s="13" t="s">
        <v>47</v>
      </c>
      <c r="B27" s="13" t="s">
        <v>22</v>
      </c>
      <c r="C27" s="14">
        <v>14.4</v>
      </c>
      <c r="D27" s="14">
        <v>15.6</v>
      </c>
      <c r="E27" s="15">
        <v>0</v>
      </c>
      <c r="F27" s="15">
        <f t="shared" si="0"/>
        <v>14.4</v>
      </c>
      <c r="G27" s="14">
        <f t="shared" si="1"/>
        <v>14.4</v>
      </c>
      <c r="H27" s="14">
        <f t="shared" si="2"/>
        <v>14.4</v>
      </c>
      <c r="I27" s="16" t="s">
        <v>70</v>
      </c>
      <c r="J27" s="14">
        <f t="shared" si="3"/>
        <v>14.4</v>
      </c>
      <c r="K27" s="14"/>
      <c r="N27" s="14"/>
      <c r="O27" s="14"/>
      <c r="P27" s="17"/>
      <c r="Q27" s="14"/>
      <c r="R27" s="14"/>
      <c r="S27" s="14"/>
      <c r="T27" s="17"/>
      <c r="U27" s="14"/>
    </row>
    <row r="28" spans="1:21" s="13" customFormat="1" x14ac:dyDescent="0.25">
      <c r="A28" s="13" t="s">
        <v>47</v>
      </c>
      <c r="B28" s="13" t="s">
        <v>23</v>
      </c>
      <c r="C28" s="14">
        <v>12.3</v>
      </c>
      <c r="D28" s="14">
        <v>14.2</v>
      </c>
      <c r="E28" s="15">
        <v>0</v>
      </c>
      <c r="F28" s="15">
        <f t="shared" si="0"/>
        <v>12.3</v>
      </c>
      <c r="G28" s="14">
        <f t="shared" si="1"/>
        <v>12.3</v>
      </c>
      <c r="H28" s="14">
        <f t="shared" si="2"/>
        <v>12.3</v>
      </c>
      <c r="I28" s="16" t="s">
        <v>70</v>
      </c>
      <c r="J28" s="14">
        <f t="shared" si="3"/>
        <v>12.3</v>
      </c>
      <c r="K28" s="14"/>
      <c r="N28" s="14"/>
      <c r="O28" s="14"/>
      <c r="P28" s="17"/>
      <c r="Q28" s="14"/>
      <c r="R28" s="14"/>
      <c r="S28" s="14"/>
      <c r="T28" s="17"/>
      <c r="U28" s="14"/>
    </row>
    <row r="29" spans="1:21" s="13" customFormat="1" x14ac:dyDescent="0.25">
      <c r="A29" s="13" t="s">
        <v>47</v>
      </c>
      <c r="B29" s="13" t="s">
        <v>24</v>
      </c>
      <c r="C29" s="14">
        <v>12</v>
      </c>
      <c r="D29" s="14">
        <v>14</v>
      </c>
      <c r="E29" s="15">
        <v>0</v>
      </c>
      <c r="F29" s="15">
        <f t="shared" si="0"/>
        <v>12</v>
      </c>
      <c r="G29" s="14">
        <f t="shared" si="1"/>
        <v>12</v>
      </c>
      <c r="H29" s="14">
        <f t="shared" si="2"/>
        <v>12</v>
      </c>
      <c r="I29" s="16" t="s">
        <v>70</v>
      </c>
      <c r="J29" s="14">
        <f t="shared" si="3"/>
        <v>12</v>
      </c>
      <c r="K29" s="14"/>
      <c r="N29" s="14"/>
      <c r="O29" s="14"/>
      <c r="P29" s="17"/>
      <c r="Q29" s="14"/>
      <c r="R29" s="14"/>
      <c r="S29" s="14"/>
      <c r="T29" s="17"/>
      <c r="U29" s="14"/>
    </row>
    <row r="30" spans="1:21" s="13" customFormat="1" x14ac:dyDescent="0.25">
      <c r="A30" s="13" t="s">
        <v>47</v>
      </c>
      <c r="B30" s="13" t="s">
        <v>25</v>
      </c>
      <c r="C30" s="14">
        <v>5.94</v>
      </c>
      <c r="D30" s="14">
        <v>9.8000000000000007</v>
      </c>
      <c r="E30" s="15">
        <v>0</v>
      </c>
      <c r="F30" s="15">
        <f t="shared" si="0"/>
        <v>5.94</v>
      </c>
      <c r="G30" s="14">
        <f t="shared" si="1"/>
        <v>5.94</v>
      </c>
      <c r="H30" s="14">
        <f t="shared" si="2"/>
        <v>5.94</v>
      </c>
      <c r="I30" s="16" t="s">
        <v>70</v>
      </c>
      <c r="J30" s="14">
        <f t="shared" si="3"/>
        <v>5.94</v>
      </c>
      <c r="K30" s="14"/>
      <c r="N30" s="14"/>
      <c r="O30" s="14"/>
      <c r="P30" s="17"/>
      <c r="Q30" s="14"/>
      <c r="R30" s="14"/>
      <c r="S30" s="14"/>
      <c r="T30" s="17"/>
      <c r="U30" s="14"/>
    </row>
    <row r="31" spans="1:21" s="13" customFormat="1" x14ac:dyDescent="0.25">
      <c r="A31" s="13" t="s">
        <v>47</v>
      </c>
      <c r="B31" s="13" t="s">
        <v>26</v>
      </c>
      <c r="C31" s="14">
        <v>23.6</v>
      </c>
      <c r="D31" s="14">
        <v>19.8</v>
      </c>
      <c r="E31" s="15">
        <v>0</v>
      </c>
      <c r="F31" s="15">
        <f t="shared" si="0"/>
        <v>23.6</v>
      </c>
      <c r="G31" s="14">
        <f t="shared" si="1"/>
        <v>23.6</v>
      </c>
      <c r="H31" s="14">
        <f t="shared" si="2"/>
        <v>23.6</v>
      </c>
      <c r="I31" s="16" t="s">
        <v>70</v>
      </c>
      <c r="J31" s="14">
        <f t="shared" si="3"/>
        <v>23.6</v>
      </c>
      <c r="K31" s="14"/>
      <c r="N31" s="14"/>
      <c r="O31" s="14"/>
      <c r="P31" s="17"/>
      <c r="Q31" s="14"/>
      <c r="R31" s="14"/>
      <c r="S31" s="14"/>
      <c r="T31" s="17"/>
      <c r="U31" s="14"/>
    </row>
    <row r="32" spans="1:21" s="13" customFormat="1" x14ac:dyDescent="0.25">
      <c r="C32" s="14"/>
      <c r="D32" s="14"/>
      <c r="E32" s="15"/>
      <c r="F32" s="15"/>
      <c r="G32" s="14"/>
      <c r="H32" s="14"/>
      <c r="I32" s="16"/>
      <c r="J32" s="14"/>
      <c r="K32" s="14"/>
      <c r="N32" s="14"/>
      <c r="O32" s="14"/>
      <c r="P32" s="17"/>
      <c r="Q32" s="14"/>
      <c r="R32" s="14"/>
      <c r="S32" s="14"/>
      <c r="T32" s="17"/>
      <c r="U32" s="14"/>
    </row>
    <row r="33" spans="1:21" s="13" customFormat="1" x14ac:dyDescent="0.25">
      <c r="A33" s="13" t="s">
        <v>48</v>
      </c>
      <c r="B33" s="13" t="s">
        <v>42</v>
      </c>
      <c r="C33" s="14">
        <v>47.32</v>
      </c>
      <c r="D33" s="14">
        <v>16.899999999999999</v>
      </c>
      <c r="E33" s="15">
        <v>0</v>
      </c>
      <c r="F33" s="15">
        <f t="shared" si="0"/>
        <v>47.32</v>
      </c>
      <c r="G33" s="14">
        <f t="shared" si="1"/>
        <v>47.32</v>
      </c>
      <c r="H33" s="14">
        <f t="shared" si="2"/>
        <v>47.32</v>
      </c>
      <c r="I33" s="16" t="s">
        <v>70</v>
      </c>
      <c r="J33" s="14">
        <f t="shared" si="3"/>
        <v>47.32</v>
      </c>
      <c r="K33" s="14"/>
      <c r="N33" s="14"/>
      <c r="O33" s="14"/>
      <c r="P33" s="17"/>
      <c r="Q33" s="14"/>
      <c r="R33" s="14"/>
      <c r="S33" s="14"/>
      <c r="T33" s="17"/>
      <c r="U33" s="14"/>
    </row>
    <row r="34" spans="1:21" s="13" customFormat="1" x14ac:dyDescent="0.25">
      <c r="A34" s="13" t="s">
        <v>48</v>
      </c>
      <c r="B34" s="13" t="s">
        <v>43</v>
      </c>
      <c r="C34" s="14">
        <v>11.78</v>
      </c>
      <c r="D34" s="14">
        <v>10.7</v>
      </c>
      <c r="E34" s="15">
        <v>0</v>
      </c>
      <c r="F34" s="15">
        <f t="shared" si="0"/>
        <v>11.78</v>
      </c>
      <c r="G34" s="14">
        <f t="shared" si="1"/>
        <v>11.78</v>
      </c>
      <c r="H34" s="14">
        <f t="shared" si="2"/>
        <v>11.78</v>
      </c>
      <c r="I34" s="16" t="s">
        <v>70</v>
      </c>
      <c r="J34" s="14">
        <f t="shared" si="3"/>
        <v>11.78</v>
      </c>
      <c r="K34" s="14"/>
      <c r="N34" s="14"/>
      <c r="O34" s="14"/>
      <c r="P34" s="17"/>
      <c r="Q34" s="14"/>
      <c r="R34" s="14"/>
      <c r="S34" s="14"/>
      <c r="T34" s="17"/>
      <c r="U34" s="14"/>
    </row>
    <row r="35" spans="1:21" s="13" customFormat="1" x14ac:dyDescent="0.25">
      <c r="A35" s="13" t="s">
        <v>48</v>
      </c>
      <c r="B35" s="13" t="s">
        <v>19</v>
      </c>
      <c r="C35" s="14">
        <v>2.2799999999999998</v>
      </c>
      <c r="D35" s="14">
        <v>5.8</v>
      </c>
      <c r="E35" s="15">
        <v>0</v>
      </c>
      <c r="F35" s="15">
        <f t="shared" si="0"/>
        <v>2.2799999999999998</v>
      </c>
      <c r="G35" s="14">
        <f t="shared" si="1"/>
        <v>2.2799999999999998</v>
      </c>
      <c r="H35" s="14">
        <f t="shared" si="2"/>
        <v>2.2799999999999998</v>
      </c>
      <c r="I35" s="16" t="s">
        <v>70</v>
      </c>
      <c r="J35" s="14">
        <f t="shared" si="3"/>
        <v>2.2799999999999998</v>
      </c>
      <c r="K35" s="14"/>
      <c r="N35" s="14"/>
      <c r="O35" s="14"/>
      <c r="P35" s="17"/>
      <c r="Q35" s="14"/>
      <c r="R35" s="14"/>
      <c r="S35" s="14"/>
      <c r="T35" s="17"/>
      <c r="U35" s="14"/>
    </row>
    <row r="36" spans="1:21" s="13" customFormat="1" x14ac:dyDescent="0.25">
      <c r="A36" s="13" t="s">
        <v>48</v>
      </c>
      <c r="B36" s="13" t="s">
        <v>27</v>
      </c>
      <c r="C36" s="14">
        <v>17.28</v>
      </c>
      <c r="D36" s="14">
        <v>16.8</v>
      </c>
      <c r="E36" s="15">
        <v>0</v>
      </c>
      <c r="F36" s="15">
        <f t="shared" si="0"/>
        <v>17.28</v>
      </c>
      <c r="G36" s="14">
        <f t="shared" si="1"/>
        <v>17.28</v>
      </c>
      <c r="H36" s="14">
        <f t="shared" si="2"/>
        <v>17.28</v>
      </c>
      <c r="I36" s="16" t="s">
        <v>70</v>
      </c>
      <c r="J36" s="14">
        <f t="shared" si="3"/>
        <v>17.28</v>
      </c>
      <c r="K36" s="14"/>
      <c r="N36" s="14"/>
      <c r="O36" s="14"/>
      <c r="P36" s="17"/>
      <c r="Q36" s="14"/>
      <c r="R36" s="14"/>
      <c r="S36" s="14"/>
      <c r="T36" s="17"/>
      <c r="U36" s="14"/>
    </row>
    <row r="37" spans="1:21" s="13" customFormat="1" x14ac:dyDescent="0.25">
      <c r="A37" s="13" t="s">
        <v>48</v>
      </c>
      <c r="B37" s="13" t="s">
        <v>28</v>
      </c>
      <c r="C37" s="14">
        <v>3.74</v>
      </c>
      <c r="D37" s="14">
        <v>7.8</v>
      </c>
      <c r="E37" s="15">
        <v>0</v>
      </c>
      <c r="F37" s="15">
        <f t="shared" si="0"/>
        <v>3.74</v>
      </c>
      <c r="G37" s="14">
        <f t="shared" si="1"/>
        <v>3.74</v>
      </c>
      <c r="H37" s="14">
        <f t="shared" si="2"/>
        <v>3.74</v>
      </c>
      <c r="I37" s="16" t="s">
        <v>70</v>
      </c>
      <c r="J37" s="14">
        <f t="shared" si="3"/>
        <v>3.74</v>
      </c>
      <c r="K37" s="14"/>
      <c r="N37" s="14"/>
      <c r="O37" s="14"/>
      <c r="P37" s="17"/>
      <c r="Q37" s="14"/>
      <c r="R37" s="14"/>
      <c r="S37" s="14"/>
      <c r="T37" s="17"/>
      <c r="U37" s="14"/>
    </row>
    <row r="38" spans="1:21" s="13" customFormat="1" x14ac:dyDescent="0.25">
      <c r="A38" s="13" t="s">
        <v>48</v>
      </c>
      <c r="B38" s="13" t="s">
        <v>19</v>
      </c>
      <c r="C38" s="14">
        <v>2.2799999999999998</v>
      </c>
      <c r="D38" s="14">
        <v>5.8</v>
      </c>
      <c r="E38" s="15">
        <v>0</v>
      </c>
      <c r="F38" s="15">
        <f t="shared" si="0"/>
        <v>2.2799999999999998</v>
      </c>
      <c r="G38" s="14">
        <f t="shared" si="1"/>
        <v>2.2799999999999998</v>
      </c>
      <c r="H38" s="14">
        <f t="shared" si="2"/>
        <v>2.2799999999999998</v>
      </c>
      <c r="I38" s="16" t="s">
        <v>70</v>
      </c>
      <c r="J38" s="14">
        <f t="shared" si="3"/>
        <v>2.2799999999999998</v>
      </c>
      <c r="K38" s="14"/>
      <c r="N38" s="14"/>
      <c r="O38" s="14"/>
      <c r="P38" s="17"/>
      <c r="Q38" s="14"/>
      <c r="R38" s="14"/>
      <c r="S38" s="14"/>
      <c r="T38" s="17"/>
      <c r="U38" s="14"/>
    </row>
    <row r="39" spans="1:21" s="13" customFormat="1" x14ac:dyDescent="0.25">
      <c r="A39" s="13" t="s">
        <v>48</v>
      </c>
      <c r="B39" s="13" t="s">
        <v>10</v>
      </c>
      <c r="C39" s="14">
        <v>3.74</v>
      </c>
      <c r="D39" s="14">
        <v>7.8</v>
      </c>
      <c r="E39" s="15">
        <v>0</v>
      </c>
      <c r="F39" s="15">
        <f t="shared" si="0"/>
        <v>3.74</v>
      </c>
      <c r="G39" s="14">
        <f t="shared" si="1"/>
        <v>3.74</v>
      </c>
      <c r="H39" s="14">
        <f t="shared" si="2"/>
        <v>3.74</v>
      </c>
      <c r="I39" s="16" t="s">
        <v>70</v>
      </c>
      <c r="J39" s="14">
        <f t="shared" si="3"/>
        <v>3.74</v>
      </c>
      <c r="K39" s="14"/>
      <c r="N39" s="14"/>
      <c r="O39" s="14"/>
      <c r="P39" s="17"/>
      <c r="Q39" s="14"/>
      <c r="R39" s="14"/>
      <c r="S39" s="14"/>
      <c r="T39" s="17"/>
      <c r="U39" s="14"/>
    </row>
    <row r="40" spans="1:21" s="13" customFormat="1" x14ac:dyDescent="0.25">
      <c r="A40" s="13" t="s">
        <v>48</v>
      </c>
      <c r="B40" s="13" t="s">
        <v>29</v>
      </c>
      <c r="C40" s="14">
        <v>17.28</v>
      </c>
      <c r="D40" s="14">
        <v>16.8</v>
      </c>
      <c r="E40" s="15">
        <v>0</v>
      </c>
      <c r="F40" s="15">
        <f t="shared" si="0"/>
        <v>17.28</v>
      </c>
      <c r="G40" s="14">
        <f t="shared" si="1"/>
        <v>17.28</v>
      </c>
      <c r="H40" s="14">
        <f t="shared" si="2"/>
        <v>17.28</v>
      </c>
      <c r="I40" s="16" t="s">
        <v>70</v>
      </c>
      <c r="J40" s="14">
        <f t="shared" si="3"/>
        <v>17.28</v>
      </c>
      <c r="K40" s="14"/>
      <c r="N40" s="14"/>
      <c r="O40" s="14"/>
      <c r="P40" s="17"/>
      <c r="Q40" s="14"/>
      <c r="R40" s="14"/>
      <c r="S40" s="14"/>
      <c r="T40" s="17"/>
      <c r="U40" s="14"/>
    </row>
    <row r="41" spans="1:21" s="20" customFormat="1" x14ac:dyDescent="0.25">
      <c r="A41" s="20" t="s">
        <v>48</v>
      </c>
      <c r="B41" s="20" t="s">
        <v>19</v>
      </c>
      <c r="C41" s="23">
        <v>25.66</v>
      </c>
      <c r="D41" s="23">
        <v>36.700000000000003</v>
      </c>
      <c r="E41" s="15">
        <v>2.19</v>
      </c>
      <c r="F41" s="15">
        <f t="shared" si="0"/>
        <v>23.47</v>
      </c>
      <c r="G41" s="16" t="s">
        <v>70</v>
      </c>
      <c r="H41" s="16" t="s">
        <v>70</v>
      </c>
      <c r="I41" s="24">
        <f>F41</f>
        <v>23.47</v>
      </c>
      <c r="J41" s="16" t="s">
        <v>70</v>
      </c>
      <c r="K41" s="23"/>
      <c r="N41" s="23"/>
      <c r="O41" s="23"/>
      <c r="P41" s="25"/>
      <c r="Q41" s="23"/>
      <c r="R41" s="23"/>
      <c r="S41" s="23"/>
      <c r="T41" s="25"/>
      <c r="U41" s="23"/>
    </row>
    <row r="42" spans="1:21" s="19" customFormat="1" x14ac:dyDescent="0.25">
      <c r="A42" s="20" t="s">
        <v>48</v>
      </c>
      <c r="B42" s="20" t="s">
        <v>30</v>
      </c>
      <c r="C42" s="23">
        <v>205.33</v>
      </c>
      <c r="D42" s="23">
        <v>41.2</v>
      </c>
      <c r="E42" s="15">
        <v>0</v>
      </c>
      <c r="F42" s="15">
        <f t="shared" si="0"/>
        <v>205.33</v>
      </c>
      <c r="G42" s="16" t="s">
        <v>70</v>
      </c>
      <c r="H42" s="16" t="s">
        <v>70</v>
      </c>
      <c r="I42" s="24">
        <f>F42</f>
        <v>205.33</v>
      </c>
      <c r="J42" s="16" t="s">
        <v>70</v>
      </c>
      <c r="K42" s="18"/>
      <c r="N42" s="18"/>
      <c r="O42" s="18"/>
      <c r="P42" s="22"/>
      <c r="Q42" s="18"/>
      <c r="R42" s="18"/>
      <c r="S42" s="18"/>
      <c r="T42" s="22"/>
      <c r="U42" s="18"/>
    </row>
    <row r="43" spans="1:21" s="13" customFormat="1" x14ac:dyDescent="0.25">
      <c r="A43" s="13" t="s">
        <v>48</v>
      </c>
      <c r="B43" s="13" t="s">
        <v>31</v>
      </c>
      <c r="C43" s="14">
        <v>76.05</v>
      </c>
      <c r="D43" s="14">
        <v>25.9</v>
      </c>
      <c r="E43" s="15">
        <v>0</v>
      </c>
      <c r="F43" s="15">
        <f t="shared" si="0"/>
        <v>76.05</v>
      </c>
      <c r="G43" s="16" t="s">
        <v>70</v>
      </c>
      <c r="H43" s="16" t="str">
        <f t="shared" si="2"/>
        <v>NÃO</v>
      </c>
      <c r="I43" s="24">
        <f>F43</f>
        <v>76.05</v>
      </c>
      <c r="J43" s="16" t="s">
        <v>70</v>
      </c>
      <c r="K43" s="14"/>
      <c r="N43" s="14"/>
      <c r="O43" s="14"/>
      <c r="P43" s="17"/>
      <c r="Q43" s="14"/>
      <c r="R43" s="14"/>
      <c r="S43" s="14"/>
      <c r="T43" s="17"/>
      <c r="U43" s="14"/>
    </row>
    <row r="44" spans="1:21" s="13" customFormat="1" x14ac:dyDescent="0.25">
      <c r="A44" s="13" t="s">
        <v>48</v>
      </c>
      <c r="B44" s="13" t="s">
        <v>202</v>
      </c>
      <c r="C44" s="14">
        <v>0</v>
      </c>
      <c r="D44" s="14">
        <v>0</v>
      </c>
      <c r="E44" s="15">
        <v>0</v>
      </c>
      <c r="F44" s="15">
        <v>0</v>
      </c>
      <c r="G44" s="16" t="s">
        <v>70</v>
      </c>
      <c r="H44" s="16" t="s">
        <v>70</v>
      </c>
      <c r="I44" s="24">
        <v>78.45</v>
      </c>
      <c r="J44" s="16" t="s">
        <v>70</v>
      </c>
      <c r="K44" s="14"/>
      <c r="N44" s="14"/>
      <c r="O44" s="14"/>
      <c r="P44" s="17"/>
      <c r="Q44" s="14"/>
      <c r="R44" s="14"/>
      <c r="S44" s="14"/>
      <c r="T44" s="17"/>
      <c r="U44" s="14"/>
    </row>
    <row r="45" spans="1:21" s="13" customFormat="1" x14ac:dyDescent="0.25">
      <c r="A45" s="13" t="s">
        <v>48</v>
      </c>
      <c r="B45" s="13" t="s">
        <v>202</v>
      </c>
      <c r="C45" s="14">
        <v>0</v>
      </c>
      <c r="D45" s="14">
        <v>0</v>
      </c>
      <c r="E45" s="15">
        <v>0</v>
      </c>
      <c r="F45" s="15">
        <v>0</v>
      </c>
      <c r="G45" s="16" t="s">
        <v>70</v>
      </c>
      <c r="H45" s="16" t="s">
        <v>70</v>
      </c>
      <c r="I45" s="24">
        <v>150.9</v>
      </c>
      <c r="J45" s="16" t="s">
        <v>70</v>
      </c>
      <c r="K45" s="14"/>
      <c r="N45" s="14"/>
      <c r="O45" s="14"/>
      <c r="P45" s="17"/>
      <c r="Q45" s="14"/>
      <c r="R45" s="14"/>
      <c r="S45" s="14"/>
      <c r="T45" s="17"/>
      <c r="U45" s="14"/>
    </row>
    <row r="46" spans="1:21" s="13" customFormat="1" x14ac:dyDescent="0.25">
      <c r="A46" s="13" t="s">
        <v>48</v>
      </c>
      <c r="B46" s="13" t="s">
        <v>32</v>
      </c>
      <c r="C46" s="14">
        <v>8.06</v>
      </c>
      <c r="D46" s="14">
        <v>8.3000000000000007</v>
      </c>
      <c r="E46" s="15">
        <v>0</v>
      </c>
      <c r="F46" s="15">
        <f t="shared" si="0"/>
        <v>8.06</v>
      </c>
      <c r="G46" s="14">
        <f t="shared" si="1"/>
        <v>8.06</v>
      </c>
      <c r="H46" s="14">
        <f t="shared" si="2"/>
        <v>8.06</v>
      </c>
      <c r="I46" s="16" t="s">
        <v>70</v>
      </c>
      <c r="J46" s="14">
        <f t="shared" si="3"/>
        <v>8.06</v>
      </c>
      <c r="K46" s="14"/>
      <c r="N46" s="14"/>
      <c r="O46" s="14"/>
      <c r="P46" s="17"/>
      <c r="Q46" s="14"/>
      <c r="R46" s="14"/>
      <c r="S46" s="14"/>
      <c r="T46" s="17"/>
      <c r="U46" s="14"/>
    </row>
    <row r="47" spans="1:21" s="13" customFormat="1" x14ac:dyDescent="0.25">
      <c r="A47" s="13" t="s">
        <v>48</v>
      </c>
      <c r="B47" s="20" t="s">
        <v>21</v>
      </c>
      <c r="C47" s="14">
        <v>25.34</v>
      </c>
      <c r="D47" s="14">
        <v>22</v>
      </c>
      <c r="E47" s="15">
        <v>0</v>
      </c>
      <c r="F47" s="15">
        <f t="shared" si="0"/>
        <v>25.34</v>
      </c>
      <c r="G47" s="14">
        <f t="shared" si="1"/>
        <v>25.34</v>
      </c>
      <c r="H47" s="14">
        <f t="shared" si="2"/>
        <v>25.34</v>
      </c>
      <c r="I47" s="16" t="s">
        <v>70</v>
      </c>
      <c r="J47" s="14">
        <f t="shared" si="3"/>
        <v>25.34</v>
      </c>
      <c r="K47" s="14"/>
      <c r="N47" s="14"/>
      <c r="O47" s="14"/>
      <c r="P47" s="17"/>
      <c r="Q47" s="14"/>
      <c r="R47" s="14"/>
      <c r="S47" s="14"/>
      <c r="T47" s="17"/>
      <c r="U47" s="14"/>
    </row>
    <row r="48" spans="1:21" s="13" customFormat="1" x14ac:dyDescent="0.25">
      <c r="A48" s="13" t="s">
        <v>48</v>
      </c>
      <c r="B48" s="20" t="s">
        <v>3</v>
      </c>
      <c r="C48" s="14">
        <v>8.0399999999999991</v>
      </c>
      <c r="D48" s="14">
        <v>15.8</v>
      </c>
      <c r="E48" s="15">
        <v>8.0399999999999991</v>
      </c>
      <c r="F48" s="15">
        <f t="shared" si="0"/>
        <v>0</v>
      </c>
      <c r="G48" s="14">
        <f t="shared" si="1"/>
        <v>0</v>
      </c>
      <c r="H48" s="14">
        <f t="shared" si="2"/>
        <v>0</v>
      </c>
      <c r="I48" s="16" t="s">
        <v>70</v>
      </c>
      <c r="J48" s="14">
        <f t="shared" si="3"/>
        <v>0</v>
      </c>
      <c r="K48" s="14"/>
      <c r="N48" s="14"/>
      <c r="O48" s="14"/>
      <c r="P48" s="17"/>
      <c r="Q48" s="14"/>
      <c r="R48" s="14"/>
      <c r="S48" s="14"/>
      <c r="T48" s="17"/>
      <c r="U48" s="14"/>
    </row>
    <row r="49" spans="1:21" s="13" customFormat="1" x14ac:dyDescent="0.25">
      <c r="A49" s="13" t="s">
        <v>48</v>
      </c>
      <c r="B49" s="13" t="s">
        <v>19</v>
      </c>
      <c r="C49" s="14">
        <v>8.0399999999999991</v>
      </c>
      <c r="D49" s="14">
        <v>15.8</v>
      </c>
      <c r="E49" s="15">
        <v>0</v>
      </c>
      <c r="F49" s="15">
        <f t="shared" si="0"/>
        <v>8.0399999999999991</v>
      </c>
      <c r="G49" s="14">
        <f t="shared" si="1"/>
        <v>8.0399999999999991</v>
      </c>
      <c r="H49" s="14">
        <f t="shared" si="2"/>
        <v>8.0399999999999991</v>
      </c>
      <c r="I49" s="16" t="s">
        <v>70</v>
      </c>
      <c r="J49" s="14">
        <f t="shared" si="3"/>
        <v>8.0399999999999991</v>
      </c>
      <c r="K49" s="14"/>
      <c r="N49" s="14"/>
      <c r="O49" s="14"/>
      <c r="P49" s="17"/>
      <c r="Q49" s="14"/>
      <c r="R49" s="14"/>
      <c r="S49" s="14"/>
      <c r="T49" s="17"/>
      <c r="U49" s="14"/>
    </row>
    <row r="50" spans="1:21" s="13" customFormat="1" x14ac:dyDescent="0.25">
      <c r="A50" s="13" t="s">
        <v>48</v>
      </c>
      <c r="B50" s="13" t="s">
        <v>15</v>
      </c>
      <c r="C50" s="14">
        <v>2.2799999999999998</v>
      </c>
      <c r="D50" s="14">
        <v>6.2</v>
      </c>
      <c r="E50" s="15">
        <v>0</v>
      </c>
      <c r="F50" s="15">
        <f t="shared" si="0"/>
        <v>2.2799999999999998</v>
      </c>
      <c r="G50" s="14">
        <f t="shared" si="1"/>
        <v>2.2799999999999998</v>
      </c>
      <c r="H50" s="14">
        <f t="shared" si="2"/>
        <v>2.2799999999999998</v>
      </c>
      <c r="I50" s="16" t="s">
        <v>70</v>
      </c>
      <c r="J50" s="14">
        <f t="shared" si="3"/>
        <v>2.2799999999999998</v>
      </c>
      <c r="K50" s="14"/>
      <c r="N50" s="14"/>
      <c r="O50" s="14"/>
      <c r="P50" s="17"/>
      <c r="Q50" s="14"/>
      <c r="R50" s="14"/>
      <c r="S50" s="14"/>
      <c r="T50" s="17"/>
      <c r="U50" s="14"/>
    </row>
    <row r="51" spans="1:21" s="13" customFormat="1" x14ac:dyDescent="0.25">
      <c r="A51" s="13" t="s">
        <v>48</v>
      </c>
      <c r="B51" s="13" t="s">
        <v>72</v>
      </c>
      <c r="C51" s="14">
        <v>3.74</v>
      </c>
      <c r="D51" s="14">
        <v>7.8</v>
      </c>
      <c r="E51" s="15">
        <v>0</v>
      </c>
      <c r="F51" s="15">
        <f t="shared" si="0"/>
        <v>3.74</v>
      </c>
      <c r="G51" s="14">
        <f t="shared" si="1"/>
        <v>3.74</v>
      </c>
      <c r="H51" s="14">
        <f t="shared" si="2"/>
        <v>3.74</v>
      </c>
      <c r="I51" s="16" t="s">
        <v>70</v>
      </c>
      <c r="J51" s="14">
        <f t="shared" si="3"/>
        <v>3.74</v>
      </c>
      <c r="K51" s="14"/>
      <c r="N51" s="14"/>
      <c r="O51" s="14"/>
      <c r="P51" s="17"/>
      <c r="Q51" s="14"/>
      <c r="R51" s="14"/>
      <c r="S51" s="14"/>
      <c r="T51" s="17"/>
      <c r="U51" s="14"/>
    </row>
    <row r="52" spans="1:21" s="13" customFormat="1" x14ac:dyDescent="0.25">
      <c r="A52" s="13" t="s">
        <v>48</v>
      </c>
      <c r="B52" s="13" t="s">
        <v>14</v>
      </c>
      <c r="C52" s="14">
        <v>5.04</v>
      </c>
      <c r="D52" s="14">
        <v>10</v>
      </c>
      <c r="E52" s="15">
        <v>0</v>
      </c>
      <c r="F52" s="15">
        <f t="shared" si="0"/>
        <v>5.04</v>
      </c>
      <c r="G52" s="14">
        <f t="shared" si="1"/>
        <v>5.04</v>
      </c>
      <c r="H52" s="14">
        <f t="shared" si="2"/>
        <v>5.04</v>
      </c>
      <c r="I52" s="16" t="s">
        <v>70</v>
      </c>
      <c r="J52" s="14">
        <f t="shared" si="3"/>
        <v>5.04</v>
      </c>
      <c r="K52" s="14"/>
      <c r="N52" s="14"/>
      <c r="O52" s="14"/>
      <c r="P52" s="17"/>
      <c r="Q52" s="14"/>
      <c r="R52" s="14"/>
      <c r="S52" s="14"/>
      <c r="T52" s="17"/>
      <c r="U52" s="14"/>
    </row>
    <row r="53" spans="1:21" s="13" customFormat="1" x14ac:dyDescent="0.25">
      <c r="A53" s="13" t="s">
        <v>48</v>
      </c>
      <c r="B53" s="13" t="s">
        <v>33</v>
      </c>
      <c r="C53" s="14">
        <v>10.32</v>
      </c>
      <c r="D53" s="14">
        <v>13.2</v>
      </c>
      <c r="E53" s="15">
        <v>0</v>
      </c>
      <c r="F53" s="15">
        <f t="shared" si="0"/>
        <v>10.32</v>
      </c>
      <c r="G53" s="14">
        <f t="shared" si="1"/>
        <v>10.32</v>
      </c>
      <c r="H53" s="14">
        <f t="shared" si="2"/>
        <v>10.32</v>
      </c>
      <c r="I53" s="16" t="s">
        <v>70</v>
      </c>
      <c r="J53" s="14">
        <f t="shared" si="3"/>
        <v>10.32</v>
      </c>
      <c r="K53" s="14"/>
      <c r="N53" s="14"/>
      <c r="O53" s="14"/>
      <c r="P53" s="17"/>
      <c r="Q53" s="14"/>
      <c r="R53" s="14"/>
      <c r="S53" s="14"/>
      <c r="T53" s="17"/>
      <c r="U53" s="14"/>
    </row>
    <row r="54" spans="1:21" s="13" customFormat="1" x14ac:dyDescent="0.25">
      <c r="C54" s="14"/>
      <c r="D54" s="14"/>
      <c r="E54" s="15"/>
      <c r="F54" s="15"/>
      <c r="G54" s="14"/>
      <c r="H54" s="14"/>
      <c r="I54" s="16"/>
      <c r="J54" s="14"/>
      <c r="K54" s="14"/>
      <c r="N54" s="14"/>
      <c r="O54" s="14"/>
      <c r="P54" s="17"/>
      <c r="Q54" s="14"/>
      <c r="R54" s="14"/>
      <c r="S54" s="14"/>
      <c r="T54" s="17"/>
      <c r="U54" s="14"/>
    </row>
    <row r="55" spans="1:21" s="13" customFormat="1" x14ac:dyDescent="0.25">
      <c r="A55" s="13" t="s">
        <v>49</v>
      </c>
      <c r="B55" s="20" t="s">
        <v>3</v>
      </c>
      <c r="C55" s="14">
        <v>8.0399999999999991</v>
      </c>
      <c r="D55" s="14">
        <v>15.8</v>
      </c>
      <c r="E55" s="15">
        <v>0</v>
      </c>
      <c r="F55" s="15">
        <f t="shared" si="0"/>
        <v>8.0399999999999991</v>
      </c>
      <c r="G55" s="14">
        <f t="shared" si="1"/>
        <v>8.0399999999999991</v>
      </c>
      <c r="H55" s="14">
        <f t="shared" si="2"/>
        <v>8.0399999999999991</v>
      </c>
      <c r="I55" s="16" t="s">
        <v>70</v>
      </c>
      <c r="J55" s="14">
        <f t="shared" si="3"/>
        <v>8.0399999999999991</v>
      </c>
      <c r="K55" s="14"/>
      <c r="N55" s="14"/>
      <c r="O55" s="14"/>
      <c r="P55" s="17"/>
      <c r="Q55" s="14"/>
      <c r="R55" s="14"/>
      <c r="S55" s="14"/>
      <c r="T55" s="17"/>
      <c r="U55" s="14"/>
    </row>
    <row r="56" spans="1:21" s="13" customFormat="1" x14ac:dyDescent="0.25">
      <c r="A56" s="13" t="s">
        <v>49</v>
      </c>
      <c r="B56" s="13" t="s">
        <v>34</v>
      </c>
      <c r="C56" s="14">
        <v>23.68</v>
      </c>
      <c r="D56" s="14">
        <v>20.6</v>
      </c>
      <c r="E56" s="15">
        <v>0</v>
      </c>
      <c r="F56" s="15">
        <f t="shared" si="0"/>
        <v>23.68</v>
      </c>
      <c r="G56" s="14">
        <f t="shared" si="1"/>
        <v>23.68</v>
      </c>
      <c r="H56" s="14">
        <f t="shared" si="2"/>
        <v>23.68</v>
      </c>
      <c r="I56" s="16" t="s">
        <v>70</v>
      </c>
      <c r="J56" s="14">
        <f t="shared" si="3"/>
        <v>23.68</v>
      </c>
      <c r="K56" s="14"/>
      <c r="N56" s="14"/>
      <c r="O56" s="14"/>
      <c r="P56" s="17"/>
      <c r="Q56" s="14"/>
      <c r="R56" s="14"/>
      <c r="S56" s="14"/>
      <c r="T56" s="17"/>
      <c r="U56" s="14"/>
    </row>
    <row r="57" spans="1:21" s="13" customFormat="1" x14ac:dyDescent="0.25">
      <c r="A57" s="13" t="s">
        <v>49</v>
      </c>
      <c r="B57" s="13" t="s">
        <v>19</v>
      </c>
      <c r="C57" s="14">
        <v>3.72</v>
      </c>
      <c r="D57" s="14">
        <v>8.6</v>
      </c>
      <c r="E57" s="15">
        <v>0</v>
      </c>
      <c r="F57" s="15">
        <f t="shared" si="0"/>
        <v>3.72</v>
      </c>
      <c r="G57" s="14">
        <f t="shared" si="1"/>
        <v>3.72</v>
      </c>
      <c r="H57" s="14">
        <f t="shared" si="2"/>
        <v>3.72</v>
      </c>
      <c r="I57" s="16" t="s">
        <v>70</v>
      </c>
      <c r="J57" s="14">
        <f t="shared" si="3"/>
        <v>3.72</v>
      </c>
      <c r="K57" s="14"/>
      <c r="N57" s="14"/>
      <c r="O57" s="14"/>
      <c r="P57" s="17"/>
      <c r="Q57" s="14"/>
      <c r="R57" s="14"/>
      <c r="S57" s="14"/>
      <c r="T57" s="17"/>
      <c r="U57" s="14"/>
    </row>
    <row r="58" spans="1:21" s="13" customFormat="1" x14ac:dyDescent="0.25">
      <c r="A58" s="13" t="s">
        <v>49</v>
      </c>
      <c r="B58" s="13" t="s">
        <v>35</v>
      </c>
      <c r="C58" s="14">
        <v>12</v>
      </c>
      <c r="D58" s="14">
        <v>22.4</v>
      </c>
      <c r="E58" s="15">
        <v>0</v>
      </c>
      <c r="F58" s="15">
        <f t="shared" si="0"/>
        <v>12</v>
      </c>
      <c r="G58" s="14">
        <f t="shared" si="1"/>
        <v>12</v>
      </c>
      <c r="H58" s="14">
        <f t="shared" si="2"/>
        <v>12</v>
      </c>
      <c r="I58" s="16" t="s">
        <v>70</v>
      </c>
      <c r="J58" s="14">
        <f t="shared" si="3"/>
        <v>12</v>
      </c>
      <c r="K58" s="14"/>
      <c r="N58" s="14"/>
      <c r="O58" s="14"/>
      <c r="P58" s="17"/>
      <c r="Q58" s="14"/>
      <c r="R58" s="14"/>
      <c r="S58" s="14"/>
      <c r="T58" s="17"/>
      <c r="U58" s="14"/>
    </row>
    <row r="59" spans="1:21" s="13" customFormat="1" x14ac:dyDescent="0.25">
      <c r="A59" s="13" t="s">
        <v>49</v>
      </c>
      <c r="B59" s="13" t="s">
        <v>36</v>
      </c>
      <c r="C59" s="14">
        <v>23.68</v>
      </c>
      <c r="D59" s="14">
        <v>20.6</v>
      </c>
      <c r="E59" s="15">
        <v>0</v>
      </c>
      <c r="F59" s="15">
        <f t="shared" si="0"/>
        <v>23.68</v>
      </c>
      <c r="G59" s="14">
        <f t="shared" si="1"/>
        <v>23.68</v>
      </c>
      <c r="H59" s="14">
        <f t="shared" si="2"/>
        <v>23.68</v>
      </c>
      <c r="I59" s="16" t="s">
        <v>70</v>
      </c>
      <c r="J59" s="14">
        <f t="shared" si="3"/>
        <v>23.68</v>
      </c>
      <c r="K59" s="14"/>
      <c r="N59" s="14"/>
      <c r="O59" s="14"/>
      <c r="P59" s="17"/>
      <c r="Q59" s="14"/>
      <c r="R59" s="14"/>
      <c r="S59" s="14"/>
      <c r="T59" s="17"/>
      <c r="U59" s="14"/>
    </row>
    <row r="60" spans="1:21" s="13" customFormat="1" x14ac:dyDescent="0.25">
      <c r="C60" s="14"/>
      <c r="D60" s="14"/>
      <c r="E60" s="15"/>
      <c r="F60" s="15"/>
      <c r="G60" s="14"/>
      <c r="H60" s="14"/>
      <c r="I60" s="16"/>
      <c r="J60" s="14"/>
      <c r="K60" s="14"/>
      <c r="N60" s="14"/>
      <c r="O60" s="14"/>
      <c r="P60" s="17"/>
      <c r="Q60" s="14"/>
      <c r="R60" s="14"/>
      <c r="S60" s="14"/>
      <c r="T60" s="17"/>
      <c r="U60" s="14"/>
    </row>
    <row r="61" spans="1:21" s="13" customFormat="1" x14ac:dyDescent="0.25">
      <c r="A61" s="13" t="s">
        <v>51</v>
      </c>
      <c r="B61" s="13" t="s">
        <v>53</v>
      </c>
      <c r="C61" s="14">
        <v>3.12</v>
      </c>
      <c r="D61" s="14">
        <v>10.6</v>
      </c>
      <c r="E61" s="15">
        <v>0</v>
      </c>
      <c r="F61" s="15">
        <f t="shared" si="0"/>
        <v>3.12</v>
      </c>
      <c r="G61" s="14">
        <f t="shared" si="1"/>
        <v>3.12</v>
      </c>
      <c r="H61" s="14">
        <f t="shared" si="2"/>
        <v>3.12</v>
      </c>
      <c r="I61" s="16" t="s">
        <v>70</v>
      </c>
      <c r="J61" s="14">
        <f t="shared" si="3"/>
        <v>3.12</v>
      </c>
      <c r="K61" s="14"/>
      <c r="N61" s="14"/>
      <c r="O61" s="14"/>
      <c r="P61" s="17"/>
      <c r="Q61" s="14"/>
      <c r="R61" s="14"/>
      <c r="S61" s="14"/>
      <c r="T61" s="17"/>
      <c r="U61" s="14"/>
    </row>
    <row r="62" spans="1:21" s="13" customFormat="1" ht="30" x14ac:dyDescent="0.25">
      <c r="A62" s="13" t="s">
        <v>51</v>
      </c>
      <c r="B62" s="21" t="s">
        <v>67</v>
      </c>
      <c r="C62" s="14">
        <v>17.12</v>
      </c>
      <c r="D62" s="14">
        <v>20.3</v>
      </c>
      <c r="E62" s="15">
        <v>0</v>
      </c>
      <c r="F62" s="15">
        <f t="shared" ref="F62" si="4">C62-E62</f>
        <v>17.12</v>
      </c>
      <c r="G62" s="14">
        <f t="shared" ref="G62" si="5">C62-E62</f>
        <v>17.12</v>
      </c>
      <c r="H62" s="14">
        <f t="shared" ref="H62" si="6">G62</f>
        <v>17.12</v>
      </c>
      <c r="I62" s="16" t="s">
        <v>70</v>
      </c>
      <c r="J62" s="16" t="s">
        <v>70</v>
      </c>
      <c r="K62" s="14"/>
      <c r="N62" s="14"/>
      <c r="O62" s="14"/>
      <c r="P62" s="17"/>
      <c r="Q62" s="14"/>
      <c r="R62" s="14"/>
      <c r="S62" s="14"/>
      <c r="T62" s="17"/>
      <c r="U62" s="14"/>
    </row>
    <row r="63" spans="1:21" s="4" customFormat="1" x14ac:dyDescent="0.25">
      <c r="B63" s="4" t="s">
        <v>1</v>
      </c>
      <c r="C63" s="5">
        <f>SUM(C3:C62)</f>
        <v>1089.9899999999996</v>
      </c>
      <c r="D63" s="5"/>
      <c r="E63" s="5"/>
      <c r="F63" s="5">
        <f>SUM(F3:F62)</f>
        <v>1071.5099999999995</v>
      </c>
      <c r="G63" s="5">
        <f>SUM(G3:G62)</f>
        <v>716.02999999999975</v>
      </c>
      <c r="H63" s="5">
        <f>SUM(H3:H62)</f>
        <v>716.02999999999975</v>
      </c>
      <c r="I63" s="5">
        <f>SUM(I3:I62)</f>
        <v>584.83000000000004</v>
      </c>
      <c r="J63" s="5">
        <f>SUM(J3:J62)</f>
        <v>749.53999999999974</v>
      </c>
      <c r="K63" s="5"/>
      <c r="N63" s="5"/>
      <c r="O63" s="5"/>
      <c r="P63" s="9"/>
      <c r="Q63" s="5"/>
      <c r="R63" s="5"/>
      <c r="S63" s="5"/>
      <c r="T63" s="9"/>
      <c r="U63" s="5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0A6B-5433-4E1E-B2C9-F56D58705FE2}">
  <dimension ref="A2:T127"/>
  <sheetViews>
    <sheetView zoomScaleNormal="100" workbookViewId="0">
      <pane ySplit="3" topLeftCell="A4" activePane="bottomLeft" state="frozen"/>
      <selection pane="bottomLeft" activeCell="E27" sqref="E27"/>
    </sheetView>
  </sheetViews>
  <sheetFormatPr defaultRowHeight="15" x14ac:dyDescent="0.25"/>
  <cols>
    <col min="1" max="1" width="18.85546875" bestFit="1" customWidth="1"/>
    <col min="2" max="2" width="10.42578125" customWidth="1"/>
    <col min="3" max="3" width="15.140625" style="1" customWidth="1"/>
    <col min="4" max="7" width="13.7109375" style="1" customWidth="1"/>
    <col min="8" max="8" width="12.5703125" style="1" customWidth="1"/>
    <col min="9" max="9" width="9.140625" style="1"/>
    <col min="10" max="10" width="13" style="1" customWidth="1"/>
    <col min="11" max="11" width="9.140625" style="32"/>
    <col min="12" max="12" width="10.85546875" customWidth="1"/>
    <col min="13" max="13" width="9.5703125" style="1" customWidth="1"/>
    <col min="14" max="15" width="18.140625" style="1" customWidth="1"/>
    <col min="16" max="16" width="9.140625" style="1"/>
    <col min="17" max="17" width="19.85546875" style="8" customWidth="1"/>
    <col min="18" max="18" width="14.7109375" style="1" customWidth="1"/>
    <col min="19" max="19" width="12.140625" customWidth="1"/>
    <col min="20" max="20" width="19.85546875" customWidth="1"/>
  </cols>
  <sheetData>
    <row r="2" spans="1:20" x14ac:dyDescent="0.25">
      <c r="A2" s="38" t="s">
        <v>150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Q2" s="37" t="s">
        <v>151</v>
      </c>
      <c r="R2" s="36"/>
      <c r="S2" s="35"/>
      <c r="T2" s="35"/>
    </row>
    <row r="3" spans="1:20" ht="45" x14ac:dyDescent="0.25">
      <c r="A3" s="28" t="s">
        <v>148</v>
      </c>
      <c r="B3" s="28" t="s">
        <v>50</v>
      </c>
      <c r="C3" s="29" t="s">
        <v>107</v>
      </c>
      <c r="D3" s="29" t="s">
        <v>204</v>
      </c>
      <c r="E3" s="29" t="s">
        <v>206</v>
      </c>
      <c r="F3" s="29" t="s">
        <v>203</v>
      </c>
      <c r="G3" s="29" t="s">
        <v>207</v>
      </c>
      <c r="H3" s="29" t="s">
        <v>108</v>
      </c>
      <c r="I3" s="29" t="s">
        <v>105</v>
      </c>
      <c r="J3" s="29" t="s">
        <v>147</v>
      </c>
      <c r="K3" s="34" t="s">
        <v>0</v>
      </c>
      <c r="L3" s="29" t="s">
        <v>106</v>
      </c>
      <c r="M3" s="29" t="s">
        <v>109</v>
      </c>
      <c r="N3" s="29" t="s">
        <v>187</v>
      </c>
      <c r="O3" s="29" t="s">
        <v>188</v>
      </c>
      <c r="P3" s="10"/>
      <c r="Q3" s="30" t="s">
        <v>148</v>
      </c>
      <c r="R3" s="29" t="s">
        <v>107</v>
      </c>
      <c r="S3" s="29" t="s">
        <v>108</v>
      </c>
      <c r="T3" s="29" t="s">
        <v>155</v>
      </c>
    </row>
    <row r="4" spans="1:20" x14ac:dyDescent="0.25">
      <c r="A4" s="13" t="s">
        <v>103</v>
      </c>
      <c r="B4" t="s">
        <v>104</v>
      </c>
      <c r="C4" s="1">
        <v>2</v>
      </c>
      <c r="D4" s="1">
        <f>C4+0.6</f>
        <v>2.6</v>
      </c>
      <c r="E4" s="1">
        <f>D4*K4</f>
        <v>5.2</v>
      </c>
      <c r="F4" s="1">
        <v>0</v>
      </c>
      <c r="G4" s="1">
        <f>F4*K4</f>
        <v>0</v>
      </c>
      <c r="H4" s="1">
        <v>2.1</v>
      </c>
      <c r="I4" s="1">
        <f>C4*H4</f>
        <v>4.2</v>
      </c>
      <c r="J4" s="1">
        <v>0</v>
      </c>
      <c r="K4" s="32">
        <v>2</v>
      </c>
      <c r="L4">
        <f t="shared" ref="L4:L41" si="0">I4*K4</f>
        <v>8.4</v>
      </c>
      <c r="M4" s="1">
        <v>0</v>
      </c>
      <c r="N4" s="1">
        <f>L4</f>
        <v>8.4</v>
      </c>
      <c r="O4" s="1">
        <v>0</v>
      </c>
      <c r="Q4" s="13" t="s">
        <v>47</v>
      </c>
      <c r="R4" s="1">
        <f>2+2.5+2.1+2.1+2+2.4+2.5+2.4+2+2.1+2.1+2</f>
        <v>26.200000000000003</v>
      </c>
      <c r="S4">
        <v>1</v>
      </c>
      <c r="T4">
        <f>R4*S4</f>
        <v>26.200000000000003</v>
      </c>
    </row>
    <row r="5" spans="1:20" s="44" customFormat="1" x14ac:dyDescent="0.25">
      <c r="A5" s="44" t="s">
        <v>103</v>
      </c>
      <c r="B5" s="44" t="s">
        <v>110</v>
      </c>
      <c r="C5" s="45">
        <v>0.8</v>
      </c>
      <c r="D5" s="45">
        <f t="shared" ref="D5:D18" si="1">C5+0.6</f>
        <v>1.4</v>
      </c>
      <c r="E5" s="45">
        <f t="shared" ref="E5:E22" si="2">D5*K5</f>
        <v>4.1999999999999993</v>
      </c>
      <c r="F5" s="45">
        <v>0</v>
      </c>
      <c r="G5" s="45">
        <f t="shared" ref="G5:G22" si="3">F5*K5</f>
        <v>0</v>
      </c>
      <c r="H5" s="45">
        <v>2.1</v>
      </c>
      <c r="I5" s="45">
        <f t="shared" ref="I5:I11" si="4">C5*H5</f>
        <v>1.6800000000000002</v>
      </c>
      <c r="J5" s="45">
        <v>0</v>
      </c>
      <c r="K5" s="46">
        <v>3</v>
      </c>
      <c r="L5" s="44">
        <f t="shared" si="0"/>
        <v>5.0400000000000009</v>
      </c>
      <c r="M5" s="45">
        <v>0</v>
      </c>
      <c r="N5" s="45">
        <f t="shared" ref="N5:N14" si="5">L5</f>
        <v>5.0400000000000009</v>
      </c>
      <c r="O5" s="45">
        <v>0</v>
      </c>
      <c r="P5" s="45"/>
      <c r="Q5" s="44" t="s">
        <v>93</v>
      </c>
      <c r="R5" s="45">
        <v>2</v>
      </c>
      <c r="S5" s="44">
        <v>5.15</v>
      </c>
      <c r="T5" s="44">
        <f t="shared" ref="T5:T6" si="6">R5*S5</f>
        <v>10.3</v>
      </c>
    </row>
    <row r="6" spans="1:20" s="44" customFormat="1" x14ac:dyDescent="0.25">
      <c r="A6" s="44" t="s">
        <v>103</v>
      </c>
      <c r="B6" s="44" t="s">
        <v>111</v>
      </c>
      <c r="C6" s="45">
        <v>0.9</v>
      </c>
      <c r="D6" s="45">
        <f t="shared" si="1"/>
        <v>1.5</v>
      </c>
      <c r="E6" s="45">
        <f t="shared" si="2"/>
        <v>1.5</v>
      </c>
      <c r="F6" s="45">
        <v>0</v>
      </c>
      <c r="G6" s="45">
        <f t="shared" si="3"/>
        <v>0</v>
      </c>
      <c r="H6" s="45">
        <v>2.1</v>
      </c>
      <c r="I6" s="45">
        <f t="shared" si="4"/>
        <v>1.8900000000000001</v>
      </c>
      <c r="J6" s="45">
        <v>0</v>
      </c>
      <c r="K6" s="46">
        <v>1</v>
      </c>
      <c r="L6" s="44">
        <f t="shared" si="0"/>
        <v>1.8900000000000001</v>
      </c>
      <c r="M6" s="45">
        <v>0</v>
      </c>
      <c r="N6" s="45">
        <f t="shared" si="5"/>
        <v>1.8900000000000001</v>
      </c>
      <c r="O6" s="45">
        <v>0</v>
      </c>
      <c r="P6" s="45"/>
      <c r="Q6" s="45" t="s">
        <v>93</v>
      </c>
      <c r="R6" s="45">
        <v>2</v>
      </c>
      <c r="S6" s="44">
        <v>1</v>
      </c>
      <c r="T6" s="44">
        <f t="shared" si="6"/>
        <v>2</v>
      </c>
    </row>
    <row r="7" spans="1:20" s="44" customFormat="1" x14ac:dyDescent="0.25">
      <c r="A7" s="44" t="s">
        <v>103</v>
      </c>
      <c r="B7" s="44" t="s">
        <v>112</v>
      </c>
      <c r="C7" s="47">
        <v>0.8</v>
      </c>
      <c r="D7" s="45">
        <f t="shared" si="1"/>
        <v>1.4</v>
      </c>
      <c r="E7" s="45">
        <f t="shared" si="2"/>
        <v>11.2</v>
      </c>
      <c r="F7" s="45">
        <v>0</v>
      </c>
      <c r="G7" s="45">
        <f t="shared" si="3"/>
        <v>0</v>
      </c>
      <c r="H7" s="45">
        <v>2.1</v>
      </c>
      <c r="I7" s="45">
        <f t="shared" si="4"/>
        <v>1.6800000000000002</v>
      </c>
      <c r="J7" s="45">
        <v>0</v>
      </c>
      <c r="K7" s="46">
        <v>8</v>
      </c>
      <c r="L7" s="44">
        <f t="shared" si="0"/>
        <v>13.440000000000001</v>
      </c>
      <c r="M7" s="45">
        <v>0</v>
      </c>
      <c r="N7" s="45">
        <f t="shared" si="5"/>
        <v>13.440000000000001</v>
      </c>
      <c r="O7" s="45">
        <v>0</v>
      </c>
      <c r="P7" s="45"/>
      <c r="Q7" s="45" t="s">
        <v>1</v>
      </c>
      <c r="R7" s="45"/>
      <c r="T7" s="44">
        <f>SUM(T4:T6)</f>
        <v>38.5</v>
      </c>
    </row>
    <row r="8" spans="1:20" s="44" customFormat="1" x14ac:dyDescent="0.25">
      <c r="A8" s="44" t="s">
        <v>47</v>
      </c>
      <c r="B8" s="44" t="s">
        <v>112</v>
      </c>
      <c r="C8" s="47">
        <v>0.8</v>
      </c>
      <c r="D8" s="45">
        <f t="shared" si="1"/>
        <v>1.4</v>
      </c>
      <c r="E8" s="45">
        <f t="shared" si="2"/>
        <v>12.6</v>
      </c>
      <c r="F8" s="45">
        <v>0</v>
      </c>
      <c r="G8" s="45">
        <f t="shared" si="3"/>
        <v>0</v>
      </c>
      <c r="H8" s="45">
        <v>2.1</v>
      </c>
      <c r="I8" s="45">
        <f t="shared" si="4"/>
        <v>1.6800000000000002</v>
      </c>
      <c r="J8" s="45">
        <v>0</v>
      </c>
      <c r="K8" s="46">
        <v>9</v>
      </c>
      <c r="L8" s="44">
        <f t="shared" si="0"/>
        <v>15.120000000000001</v>
      </c>
      <c r="M8" s="45">
        <v>0</v>
      </c>
      <c r="N8" s="45">
        <f t="shared" si="5"/>
        <v>15.120000000000001</v>
      </c>
      <c r="O8" s="45">
        <v>0</v>
      </c>
      <c r="P8" s="45"/>
      <c r="Q8" s="48"/>
      <c r="R8" s="45"/>
    </row>
    <row r="9" spans="1:20" s="44" customFormat="1" x14ac:dyDescent="0.25">
      <c r="A9" s="44" t="s">
        <v>46</v>
      </c>
      <c r="B9" s="44" t="s">
        <v>112</v>
      </c>
      <c r="C9" s="47">
        <v>0.8</v>
      </c>
      <c r="D9" s="45">
        <f t="shared" si="1"/>
        <v>1.4</v>
      </c>
      <c r="E9" s="45">
        <f t="shared" si="2"/>
        <v>2.8</v>
      </c>
      <c r="F9" s="45">
        <v>0</v>
      </c>
      <c r="G9" s="45">
        <f t="shared" si="3"/>
        <v>0</v>
      </c>
      <c r="H9" s="45">
        <v>2.1</v>
      </c>
      <c r="I9" s="45">
        <f t="shared" si="4"/>
        <v>1.6800000000000002</v>
      </c>
      <c r="J9" s="45">
        <v>0</v>
      </c>
      <c r="K9" s="46" t="s">
        <v>115</v>
      </c>
      <c r="L9" s="44">
        <f t="shared" si="0"/>
        <v>3.3600000000000003</v>
      </c>
      <c r="M9" s="45">
        <v>0</v>
      </c>
      <c r="N9" s="45">
        <f t="shared" si="5"/>
        <v>3.3600000000000003</v>
      </c>
      <c r="O9" s="45">
        <v>0</v>
      </c>
      <c r="P9" s="45"/>
      <c r="Q9" s="48"/>
      <c r="R9" s="45"/>
    </row>
    <row r="10" spans="1:20" s="44" customFormat="1" x14ac:dyDescent="0.25">
      <c r="A10" s="44" t="s">
        <v>103</v>
      </c>
      <c r="B10" s="44" t="s">
        <v>113</v>
      </c>
      <c r="C10" s="45">
        <v>0.9</v>
      </c>
      <c r="D10" s="45">
        <f t="shared" si="1"/>
        <v>1.5</v>
      </c>
      <c r="E10" s="45">
        <f t="shared" si="2"/>
        <v>1.5</v>
      </c>
      <c r="F10" s="45">
        <v>0</v>
      </c>
      <c r="G10" s="45">
        <f t="shared" si="3"/>
        <v>0</v>
      </c>
      <c r="H10" s="45">
        <v>2.1</v>
      </c>
      <c r="I10" s="45">
        <f t="shared" si="4"/>
        <v>1.8900000000000001</v>
      </c>
      <c r="J10" s="45">
        <v>0</v>
      </c>
      <c r="K10" s="46" t="s">
        <v>114</v>
      </c>
      <c r="L10" s="44">
        <f t="shared" si="0"/>
        <v>1.8900000000000001</v>
      </c>
      <c r="M10" s="45">
        <v>0</v>
      </c>
      <c r="N10" s="45">
        <f t="shared" si="5"/>
        <v>1.8900000000000001</v>
      </c>
      <c r="O10" s="45">
        <v>0</v>
      </c>
      <c r="P10" s="45"/>
      <c r="Q10" s="48" t="s">
        <v>152</v>
      </c>
      <c r="R10" s="45"/>
    </row>
    <row r="11" spans="1:20" s="44" customFormat="1" x14ac:dyDescent="0.25">
      <c r="A11" s="44" t="s">
        <v>47</v>
      </c>
      <c r="B11" s="44" t="s">
        <v>113</v>
      </c>
      <c r="C11" s="45">
        <v>0.9</v>
      </c>
      <c r="D11" s="45">
        <f t="shared" si="1"/>
        <v>1.5</v>
      </c>
      <c r="E11" s="45">
        <f t="shared" si="2"/>
        <v>1.5</v>
      </c>
      <c r="F11" s="45">
        <v>0</v>
      </c>
      <c r="G11" s="45">
        <f t="shared" si="3"/>
        <v>0</v>
      </c>
      <c r="H11" s="45">
        <v>2.1</v>
      </c>
      <c r="I11" s="45">
        <f t="shared" si="4"/>
        <v>1.8900000000000001</v>
      </c>
      <c r="J11" s="45">
        <v>0</v>
      </c>
      <c r="K11" s="46" t="s">
        <v>114</v>
      </c>
      <c r="L11" s="44">
        <f t="shared" si="0"/>
        <v>1.8900000000000001</v>
      </c>
      <c r="M11" s="45">
        <v>0</v>
      </c>
      <c r="N11" s="45">
        <f t="shared" si="5"/>
        <v>1.8900000000000001</v>
      </c>
      <c r="O11" s="45">
        <v>0</v>
      </c>
      <c r="P11" s="45"/>
      <c r="Q11" s="49" t="s">
        <v>148</v>
      </c>
      <c r="R11" s="50" t="s">
        <v>107</v>
      </c>
      <c r="S11" s="50" t="s">
        <v>108</v>
      </c>
      <c r="T11" s="50" t="s">
        <v>38</v>
      </c>
    </row>
    <row r="12" spans="1:20" s="44" customFormat="1" x14ac:dyDescent="0.25">
      <c r="A12" s="44" t="s">
        <v>103</v>
      </c>
      <c r="B12" s="44" t="s">
        <v>116</v>
      </c>
      <c r="C12" s="45">
        <v>0.9</v>
      </c>
      <c r="D12" s="45">
        <f t="shared" si="1"/>
        <v>1.5</v>
      </c>
      <c r="E12" s="45">
        <f t="shared" si="2"/>
        <v>3</v>
      </c>
      <c r="F12" s="45">
        <v>0</v>
      </c>
      <c r="G12" s="45">
        <f t="shared" si="3"/>
        <v>0</v>
      </c>
      <c r="H12" s="45">
        <v>2.1</v>
      </c>
      <c r="I12" s="45">
        <f t="shared" ref="I12:I13" si="7">C12*H12</f>
        <v>1.8900000000000001</v>
      </c>
      <c r="J12" s="45">
        <v>0</v>
      </c>
      <c r="K12" s="46" t="s">
        <v>115</v>
      </c>
      <c r="L12" s="44">
        <f t="shared" si="0"/>
        <v>3.7800000000000002</v>
      </c>
      <c r="M12" s="45">
        <v>0</v>
      </c>
      <c r="N12" s="45">
        <f t="shared" si="5"/>
        <v>3.7800000000000002</v>
      </c>
      <c r="O12" s="45">
        <v>0</v>
      </c>
      <c r="P12" s="45"/>
      <c r="Q12" s="44" t="s">
        <v>46</v>
      </c>
      <c r="R12" s="45">
        <v>4</v>
      </c>
      <c r="S12" s="44">
        <v>1.2</v>
      </c>
      <c r="T12" s="44">
        <f>R12*S12</f>
        <v>4.8</v>
      </c>
    </row>
    <row r="13" spans="1:20" s="44" customFormat="1" x14ac:dyDescent="0.25">
      <c r="A13" s="44" t="s">
        <v>47</v>
      </c>
      <c r="B13" s="44" t="s">
        <v>116</v>
      </c>
      <c r="C13" s="45">
        <v>0.9</v>
      </c>
      <c r="D13" s="45">
        <f t="shared" si="1"/>
        <v>1.5</v>
      </c>
      <c r="E13" s="45">
        <f t="shared" si="2"/>
        <v>4.5</v>
      </c>
      <c r="F13" s="45">
        <v>0</v>
      </c>
      <c r="G13" s="45">
        <f t="shared" si="3"/>
        <v>0</v>
      </c>
      <c r="H13" s="45">
        <v>2.1</v>
      </c>
      <c r="I13" s="45">
        <f t="shared" si="7"/>
        <v>1.8900000000000001</v>
      </c>
      <c r="J13" s="45">
        <v>0</v>
      </c>
      <c r="K13" s="46" t="s">
        <v>118</v>
      </c>
      <c r="L13" s="44">
        <f t="shared" si="0"/>
        <v>5.67</v>
      </c>
      <c r="M13" s="45">
        <v>0</v>
      </c>
      <c r="N13" s="45">
        <f t="shared" si="5"/>
        <v>5.67</v>
      </c>
      <c r="O13" s="45">
        <v>0</v>
      </c>
      <c r="P13" s="45"/>
      <c r="Q13" s="44" t="s">
        <v>46</v>
      </c>
      <c r="R13" s="45">
        <v>1.4</v>
      </c>
      <c r="S13" s="44">
        <v>0.7</v>
      </c>
      <c r="T13" s="44">
        <f t="shared" ref="T13:T14" si="8">R13*S13</f>
        <v>0.97999999999999987</v>
      </c>
    </row>
    <row r="14" spans="1:20" s="44" customFormat="1" x14ac:dyDescent="0.25">
      <c r="A14" s="44" t="s">
        <v>47</v>
      </c>
      <c r="B14" s="44" t="s">
        <v>117</v>
      </c>
      <c r="C14" s="45">
        <v>0.9</v>
      </c>
      <c r="D14" s="45">
        <f t="shared" si="1"/>
        <v>1.5</v>
      </c>
      <c r="E14" s="45">
        <f t="shared" si="2"/>
        <v>1.5</v>
      </c>
      <c r="F14" s="45">
        <v>0</v>
      </c>
      <c r="G14" s="45">
        <f t="shared" si="3"/>
        <v>0</v>
      </c>
      <c r="H14" s="45">
        <v>2.1</v>
      </c>
      <c r="I14" s="45">
        <f t="shared" ref="I14:I41" si="9">C14*H14</f>
        <v>1.8900000000000001</v>
      </c>
      <c r="J14" s="45">
        <v>0</v>
      </c>
      <c r="K14" s="46" t="s">
        <v>114</v>
      </c>
      <c r="L14" s="44">
        <f t="shared" si="0"/>
        <v>1.8900000000000001</v>
      </c>
      <c r="M14" s="45">
        <v>0</v>
      </c>
      <c r="N14" s="45">
        <f t="shared" si="5"/>
        <v>1.8900000000000001</v>
      </c>
      <c r="O14" s="45">
        <v>0</v>
      </c>
      <c r="P14" s="45"/>
      <c r="Q14" s="44" t="s">
        <v>46</v>
      </c>
      <c r="R14" s="45">
        <v>2.5</v>
      </c>
      <c r="S14" s="44">
        <v>1.2</v>
      </c>
      <c r="T14" s="44">
        <f t="shared" si="8"/>
        <v>3</v>
      </c>
    </row>
    <row r="15" spans="1:20" s="44" customFormat="1" x14ac:dyDescent="0.25">
      <c r="A15" s="44" t="s">
        <v>46</v>
      </c>
      <c r="B15" s="44" t="s">
        <v>119</v>
      </c>
      <c r="C15" s="45">
        <v>0.7</v>
      </c>
      <c r="D15" s="45">
        <f t="shared" si="1"/>
        <v>1.2999999999999998</v>
      </c>
      <c r="E15" s="45">
        <f t="shared" si="2"/>
        <v>1.2999999999999998</v>
      </c>
      <c r="F15" s="45">
        <v>0</v>
      </c>
      <c r="G15" s="45">
        <f t="shared" si="3"/>
        <v>0</v>
      </c>
      <c r="H15" s="45">
        <v>2.1</v>
      </c>
      <c r="I15" s="45">
        <f t="shared" si="9"/>
        <v>1.47</v>
      </c>
      <c r="J15" s="45">
        <v>0</v>
      </c>
      <c r="K15" s="46" t="s">
        <v>114</v>
      </c>
      <c r="L15" s="44">
        <f t="shared" si="0"/>
        <v>1.47</v>
      </c>
      <c r="M15" s="45">
        <v>0</v>
      </c>
      <c r="N15" s="45">
        <f>L15</f>
        <v>1.47</v>
      </c>
      <c r="O15" s="45">
        <v>0</v>
      </c>
      <c r="P15" s="45"/>
      <c r="Q15" s="48" t="s">
        <v>1</v>
      </c>
      <c r="R15" s="45"/>
      <c r="T15" s="44">
        <f>SUM(T12:T14)</f>
        <v>8.7799999999999994</v>
      </c>
    </row>
    <row r="16" spans="1:20" s="44" customFormat="1" x14ac:dyDescent="0.25">
      <c r="A16" s="44" t="s">
        <v>46</v>
      </c>
      <c r="B16" s="44" t="s">
        <v>120</v>
      </c>
      <c r="C16" s="45">
        <v>0.8</v>
      </c>
      <c r="D16" s="45">
        <f t="shared" si="1"/>
        <v>1.4</v>
      </c>
      <c r="E16" s="45">
        <f t="shared" si="2"/>
        <v>1.4</v>
      </c>
      <c r="F16" s="45">
        <v>0</v>
      </c>
      <c r="G16" s="45">
        <f t="shared" si="3"/>
        <v>0</v>
      </c>
      <c r="H16" s="45">
        <v>2.1</v>
      </c>
      <c r="I16" s="45">
        <f t="shared" si="9"/>
        <v>1.6800000000000002</v>
      </c>
      <c r="J16" s="45">
        <v>0</v>
      </c>
      <c r="K16" s="46" t="s">
        <v>114</v>
      </c>
      <c r="L16" s="44">
        <f t="shared" si="0"/>
        <v>1.6800000000000002</v>
      </c>
      <c r="M16" s="45">
        <v>0</v>
      </c>
      <c r="N16" s="45">
        <v>0</v>
      </c>
      <c r="O16" s="45">
        <v>0</v>
      </c>
      <c r="P16" s="45"/>
      <c r="Q16" s="48"/>
      <c r="R16" s="45"/>
    </row>
    <row r="17" spans="1:20" s="13" customFormat="1" x14ac:dyDescent="0.25">
      <c r="A17" s="13" t="s">
        <v>46</v>
      </c>
      <c r="B17" s="13" t="s">
        <v>121</v>
      </c>
      <c r="C17" s="14">
        <v>1.6</v>
      </c>
      <c r="D17" s="14">
        <f t="shared" si="1"/>
        <v>2.2000000000000002</v>
      </c>
      <c r="E17" s="1">
        <f t="shared" si="2"/>
        <v>2.2000000000000002</v>
      </c>
      <c r="F17" s="14">
        <v>0</v>
      </c>
      <c r="G17" s="1">
        <f t="shared" si="3"/>
        <v>0</v>
      </c>
      <c r="H17" s="14">
        <v>2.1</v>
      </c>
      <c r="I17" s="14">
        <f t="shared" si="9"/>
        <v>3.3600000000000003</v>
      </c>
      <c r="J17" s="14">
        <v>0</v>
      </c>
      <c r="K17" s="33" t="s">
        <v>114</v>
      </c>
      <c r="L17" s="13">
        <f t="shared" si="0"/>
        <v>3.3600000000000003</v>
      </c>
      <c r="M17" s="14">
        <v>0</v>
      </c>
      <c r="N17" s="14">
        <v>0</v>
      </c>
      <c r="O17" s="14">
        <v>0</v>
      </c>
      <c r="P17" s="14"/>
      <c r="Q17" s="17"/>
      <c r="R17" s="14"/>
    </row>
    <row r="18" spans="1:20" s="44" customFormat="1" x14ac:dyDescent="0.25">
      <c r="A18" s="44" t="s">
        <v>46</v>
      </c>
      <c r="B18" s="44" t="s">
        <v>205</v>
      </c>
      <c r="C18" s="45">
        <v>0.9</v>
      </c>
      <c r="D18" s="45">
        <f t="shared" si="1"/>
        <v>1.5</v>
      </c>
      <c r="E18" s="45">
        <f t="shared" si="2"/>
        <v>1.5</v>
      </c>
      <c r="F18" s="45">
        <v>0</v>
      </c>
      <c r="G18" s="45">
        <f t="shared" si="3"/>
        <v>0</v>
      </c>
      <c r="H18" s="45">
        <v>2.1</v>
      </c>
      <c r="I18" s="45">
        <f t="shared" si="9"/>
        <v>1.8900000000000001</v>
      </c>
      <c r="J18" s="45">
        <v>0</v>
      </c>
      <c r="K18" s="46" t="s">
        <v>114</v>
      </c>
      <c r="L18" s="44">
        <f t="shared" si="0"/>
        <v>1.8900000000000001</v>
      </c>
      <c r="M18" s="45">
        <v>0</v>
      </c>
      <c r="N18" s="45">
        <v>0</v>
      </c>
      <c r="O18" s="45">
        <v>0</v>
      </c>
      <c r="P18" s="45"/>
      <c r="Q18" s="48"/>
      <c r="R18" s="45"/>
    </row>
    <row r="19" spans="1:20" s="44" customFormat="1" ht="33.75" customHeight="1" x14ac:dyDescent="0.25">
      <c r="A19" s="44" t="s">
        <v>103</v>
      </c>
      <c r="B19" s="51" t="s">
        <v>146</v>
      </c>
      <c r="C19" s="45">
        <v>0.7</v>
      </c>
      <c r="D19" s="45">
        <v>0</v>
      </c>
      <c r="E19" s="45">
        <f t="shared" si="2"/>
        <v>0</v>
      </c>
      <c r="F19" s="45">
        <v>0</v>
      </c>
      <c r="G19" s="45">
        <f t="shared" si="3"/>
        <v>0</v>
      </c>
      <c r="H19" s="45">
        <v>1.9</v>
      </c>
      <c r="I19" s="45">
        <f t="shared" si="9"/>
        <v>1.3299999999999998</v>
      </c>
      <c r="J19" s="45">
        <v>0</v>
      </c>
      <c r="K19" s="46" t="s">
        <v>131</v>
      </c>
      <c r="L19" s="44">
        <f t="shared" si="0"/>
        <v>7.9799999999999986</v>
      </c>
      <c r="M19" s="45">
        <v>0</v>
      </c>
      <c r="N19" s="45">
        <v>0</v>
      </c>
      <c r="O19" s="45">
        <v>0</v>
      </c>
      <c r="P19" s="45"/>
      <c r="Q19" s="48"/>
      <c r="R19" s="45"/>
    </row>
    <row r="20" spans="1:20" x14ac:dyDescent="0.25">
      <c r="A20" s="13" t="s">
        <v>103</v>
      </c>
      <c r="B20" t="s">
        <v>122</v>
      </c>
      <c r="C20" s="1">
        <f>3+17.3+3</f>
        <v>23.3</v>
      </c>
      <c r="D20" s="1">
        <v>0</v>
      </c>
      <c r="E20" s="1">
        <f t="shared" si="2"/>
        <v>0</v>
      </c>
      <c r="F20" s="1">
        <v>0</v>
      </c>
      <c r="G20" s="1">
        <f t="shared" si="3"/>
        <v>0</v>
      </c>
      <c r="H20" s="1">
        <v>3.9</v>
      </c>
      <c r="I20" s="1">
        <f t="shared" si="9"/>
        <v>90.87</v>
      </c>
      <c r="J20" s="1">
        <v>0.05</v>
      </c>
      <c r="K20" s="32" t="s">
        <v>114</v>
      </c>
      <c r="L20">
        <f t="shared" si="0"/>
        <v>90.87</v>
      </c>
      <c r="M20" s="1">
        <v>0</v>
      </c>
      <c r="N20" s="1">
        <v>0</v>
      </c>
      <c r="O20" s="1">
        <v>0</v>
      </c>
      <c r="Q20" s="37" t="s">
        <v>153</v>
      </c>
      <c r="R20" s="36"/>
      <c r="S20" s="35"/>
      <c r="T20" s="35"/>
    </row>
    <row r="21" spans="1:20" x14ac:dyDescent="0.25">
      <c r="A21" s="13" t="s">
        <v>103</v>
      </c>
      <c r="B21" t="s">
        <v>123</v>
      </c>
      <c r="C21" s="1">
        <v>3.1</v>
      </c>
      <c r="D21" s="1">
        <v>0</v>
      </c>
      <c r="E21" s="1">
        <f t="shared" si="2"/>
        <v>0</v>
      </c>
      <c r="F21" s="1">
        <v>0</v>
      </c>
      <c r="G21" s="1">
        <f t="shared" si="3"/>
        <v>0</v>
      </c>
      <c r="H21" s="1">
        <v>2.7</v>
      </c>
      <c r="I21" s="1">
        <f t="shared" si="9"/>
        <v>8.370000000000001</v>
      </c>
      <c r="J21" s="1">
        <v>0</v>
      </c>
      <c r="K21" s="32" t="s">
        <v>114</v>
      </c>
      <c r="L21">
        <f t="shared" si="0"/>
        <v>8.370000000000001</v>
      </c>
      <c r="M21" s="1">
        <v>0</v>
      </c>
      <c r="N21" s="1">
        <v>0</v>
      </c>
      <c r="O21" s="1">
        <v>0</v>
      </c>
      <c r="Q21" s="30" t="s">
        <v>148</v>
      </c>
      <c r="R21" s="29"/>
      <c r="S21" s="29"/>
      <c r="T21" s="29" t="s">
        <v>38</v>
      </c>
    </row>
    <row r="22" spans="1:20" x14ac:dyDescent="0.25">
      <c r="A22" s="13" t="s">
        <v>47</v>
      </c>
      <c r="B22" t="s">
        <v>124</v>
      </c>
      <c r="C22" s="1">
        <f>3.3+1</f>
        <v>4.3</v>
      </c>
      <c r="D22" s="1">
        <v>0</v>
      </c>
      <c r="E22" s="1">
        <f t="shared" si="2"/>
        <v>0</v>
      </c>
      <c r="F22" s="1">
        <v>0</v>
      </c>
      <c r="G22" s="1">
        <f t="shared" si="3"/>
        <v>0</v>
      </c>
      <c r="H22" s="1">
        <v>2.7</v>
      </c>
      <c r="I22" s="1">
        <f t="shared" si="9"/>
        <v>11.61</v>
      </c>
      <c r="J22" s="1">
        <v>0</v>
      </c>
      <c r="K22" s="32" t="s">
        <v>114</v>
      </c>
      <c r="L22">
        <f t="shared" si="0"/>
        <v>11.61</v>
      </c>
      <c r="M22" s="1">
        <v>0</v>
      </c>
      <c r="N22" s="1">
        <v>0</v>
      </c>
      <c r="O22" s="1">
        <v>0</v>
      </c>
      <c r="Q22" s="13" t="s">
        <v>154</v>
      </c>
      <c r="T22">
        <v>27.22</v>
      </c>
    </row>
    <row r="23" spans="1:20" s="13" customFormat="1" x14ac:dyDescent="0.25">
      <c r="A23" s="13" t="s">
        <v>103</v>
      </c>
      <c r="B23" s="13" t="s">
        <v>125</v>
      </c>
      <c r="C23" s="14">
        <v>3.4</v>
      </c>
      <c r="D23" s="14">
        <f>C23+0.6</f>
        <v>4</v>
      </c>
      <c r="E23" s="14">
        <f>D23*K23</f>
        <v>8</v>
      </c>
      <c r="F23" s="14">
        <f>D23</f>
        <v>4</v>
      </c>
      <c r="G23" s="14">
        <f>F23*K23</f>
        <v>8</v>
      </c>
      <c r="H23" s="14">
        <v>0.6</v>
      </c>
      <c r="I23" s="14">
        <f t="shared" si="9"/>
        <v>2.04</v>
      </c>
      <c r="J23" s="14">
        <v>3.05</v>
      </c>
      <c r="K23" s="33" t="s">
        <v>115</v>
      </c>
      <c r="L23" s="13">
        <f t="shared" si="0"/>
        <v>4.08</v>
      </c>
      <c r="M23" s="1">
        <f t="shared" ref="M23:M29" si="10">C23*K23</f>
        <v>6.8</v>
      </c>
      <c r="N23" s="1">
        <v>0</v>
      </c>
      <c r="O23" s="1">
        <v>0</v>
      </c>
      <c r="P23" s="14"/>
      <c r="R23" s="1"/>
      <c r="S23"/>
      <c r="T23"/>
    </row>
    <row r="24" spans="1:20" s="44" customFormat="1" x14ac:dyDescent="0.25">
      <c r="A24" s="44" t="s">
        <v>103</v>
      </c>
      <c r="B24" s="44" t="s">
        <v>126</v>
      </c>
      <c r="C24" s="45">
        <v>1.25</v>
      </c>
      <c r="D24" s="45">
        <f t="shared" ref="D24:D35" si="11">C24+0.6</f>
        <v>1.85</v>
      </c>
      <c r="E24" s="45">
        <f t="shared" ref="E24:E41" si="12">D24*K24</f>
        <v>3.7</v>
      </c>
      <c r="F24" s="45">
        <f t="shared" ref="F24:F35" si="13">D24</f>
        <v>1.85</v>
      </c>
      <c r="G24" s="45">
        <f t="shared" ref="G24:G41" si="14">F24*K24</f>
        <v>3.7</v>
      </c>
      <c r="H24" s="45">
        <v>3.1</v>
      </c>
      <c r="I24" s="45">
        <f t="shared" si="9"/>
        <v>3.875</v>
      </c>
      <c r="J24" s="45">
        <v>0.05</v>
      </c>
      <c r="K24" s="46" t="s">
        <v>115</v>
      </c>
      <c r="L24" s="44">
        <f t="shared" si="0"/>
        <v>7.75</v>
      </c>
      <c r="M24" s="45">
        <f t="shared" si="10"/>
        <v>2.5</v>
      </c>
      <c r="N24" s="45">
        <v>0</v>
      </c>
      <c r="O24" s="45">
        <v>0</v>
      </c>
      <c r="P24" s="45"/>
      <c r="R24" s="45"/>
    </row>
    <row r="25" spans="1:20" s="44" customFormat="1" x14ac:dyDescent="0.25">
      <c r="A25" s="44" t="s">
        <v>103</v>
      </c>
      <c r="B25" s="44" t="s">
        <v>127</v>
      </c>
      <c r="C25" s="45">
        <v>1.25</v>
      </c>
      <c r="D25" s="45">
        <f t="shared" si="11"/>
        <v>1.85</v>
      </c>
      <c r="E25" s="45">
        <f t="shared" si="12"/>
        <v>11.100000000000001</v>
      </c>
      <c r="F25" s="45">
        <f t="shared" si="13"/>
        <v>1.85</v>
      </c>
      <c r="G25" s="45">
        <f t="shared" si="14"/>
        <v>11.100000000000001</v>
      </c>
      <c r="H25" s="45">
        <v>3.6</v>
      </c>
      <c r="I25" s="45">
        <f t="shared" si="9"/>
        <v>4.5</v>
      </c>
      <c r="J25" s="52" t="s">
        <v>57</v>
      </c>
      <c r="K25" s="46" t="s">
        <v>131</v>
      </c>
      <c r="L25" s="44">
        <f t="shared" si="0"/>
        <v>27</v>
      </c>
      <c r="M25" s="45">
        <f t="shared" si="10"/>
        <v>7.5</v>
      </c>
      <c r="N25" s="45">
        <v>0</v>
      </c>
      <c r="O25" s="45">
        <v>0</v>
      </c>
      <c r="P25" s="45"/>
      <c r="Q25" s="48" t="s">
        <v>149</v>
      </c>
      <c r="R25" s="45"/>
    </row>
    <row r="26" spans="1:20" s="13" customFormat="1" x14ac:dyDescent="0.25">
      <c r="A26" s="13" t="s">
        <v>103</v>
      </c>
      <c r="B26" s="13" t="s">
        <v>128</v>
      </c>
      <c r="C26" s="14">
        <v>2</v>
      </c>
      <c r="D26" s="14">
        <f t="shared" si="11"/>
        <v>2.6</v>
      </c>
      <c r="E26" s="14">
        <f t="shared" si="12"/>
        <v>10.4</v>
      </c>
      <c r="F26" s="14">
        <f t="shared" si="13"/>
        <v>2.6</v>
      </c>
      <c r="G26" s="14">
        <f t="shared" si="14"/>
        <v>10.4</v>
      </c>
      <c r="H26" s="14">
        <v>2</v>
      </c>
      <c r="I26" s="14">
        <f t="shared" si="9"/>
        <v>4</v>
      </c>
      <c r="J26" s="14">
        <v>0.3</v>
      </c>
      <c r="K26" s="33" t="s">
        <v>130</v>
      </c>
      <c r="L26" s="13">
        <f t="shared" si="0"/>
        <v>16</v>
      </c>
      <c r="M26" s="1">
        <v>0</v>
      </c>
      <c r="N26" s="1">
        <v>0</v>
      </c>
      <c r="O26" s="1">
        <v>0</v>
      </c>
      <c r="P26" s="14"/>
      <c r="Q26" s="30" t="s">
        <v>148</v>
      </c>
      <c r="R26" s="29"/>
      <c r="S26" s="29"/>
      <c r="T26" s="29" t="s">
        <v>158</v>
      </c>
    </row>
    <row r="27" spans="1:20" s="13" customFormat="1" x14ac:dyDescent="0.25">
      <c r="A27" s="13" t="s">
        <v>103</v>
      </c>
      <c r="B27" s="13" t="s">
        <v>129</v>
      </c>
      <c r="C27" s="14">
        <v>2</v>
      </c>
      <c r="D27" s="14">
        <f t="shared" si="11"/>
        <v>2.6</v>
      </c>
      <c r="E27" s="14">
        <f t="shared" si="12"/>
        <v>2.6</v>
      </c>
      <c r="F27" s="14">
        <f t="shared" si="13"/>
        <v>2.6</v>
      </c>
      <c r="G27" s="14">
        <f t="shared" si="14"/>
        <v>2.6</v>
      </c>
      <c r="H27" s="14">
        <v>0.8</v>
      </c>
      <c r="I27" s="14">
        <f t="shared" si="9"/>
        <v>1.6</v>
      </c>
      <c r="J27" s="14">
        <v>1.5</v>
      </c>
      <c r="K27" s="33" t="s">
        <v>114</v>
      </c>
      <c r="L27" s="13">
        <f t="shared" si="0"/>
        <v>1.6</v>
      </c>
      <c r="M27" s="1">
        <v>0</v>
      </c>
      <c r="N27" s="1">
        <v>0</v>
      </c>
      <c r="O27" s="1">
        <v>0</v>
      </c>
      <c r="P27" s="14"/>
      <c r="Q27" s="13" t="s">
        <v>156</v>
      </c>
      <c r="S27"/>
      <c r="T27" s="1">
        <f>((0.3+11.2+1.5+1.5+11.2+1.6+11.2+0.3+11.2+0.3+11.2+1.6+11.2)*1.1)+1.5+0.3</f>
        <v>83.53</v>
      </c>
    </row>
    <row r="28" spans="1:20" s="13" customFormat="1" x14ac:dyDescent="0.25">
      <c r="A28" s="20" t="s">
        <v>47</v>
      </c>
      <c r="B28" s="13" t="s">
        <v>132</v>
      </c>
      <c r="C28" s="14">
        <v>2</v>
      </c>
      <c r="D28" s="14">
        <f t="shared" si="11"/>
        <v>2.6</v>
      </c>
      <c r="E28" s="14">
        <f t="shared" si="12"/>
        <v>2.6</v>
      </c>
      <c r="F28" s="14">
        <f t="shared" si="13"/>
        <v>2.6</v>
      </c>
      <c r="G28" s="14">
        <f t="shared" si="14"/>
        <v>2.6</v>
      </c>
      <c r="H28" s="14">
        <v>0.6</v>
      </c>
      <c r="I28" s="14">
        <f t="shared" si="9"/>
        <v>1.2</v>
      </c>
      <c r="J28" s="14">
        <v>3.1</v>
      </c>
      <c r="K28" s="33" t="s">
        <v>114</v>
      </c>
      <c r="L28" s="13">
        <f t="shared" si="0"/>
        <v>1.2</v>
      </c>
      <c r="M28" s="1">
        <f t="shared" si="10"/>
        <v>2</v>
      </c>
      <c r="N28" s="1">
        <v>0</v>
      </c>
      <c r="O28" s="1">
        <v>0</v>
      </c>
      <c r="P28" s="14"/>
      <c r="Q28" s="17" t="s">
        <v>157</v>
      </c>
      <c r="T28" s="14">
        <f>((6*(3.85+0.9)+0.6+0.9)*1.13)+1.1+0.6+0.3</f>
        <v>35.9</v>
      </c>
    </row>
    <row r="29" spans="1:20" s="44" customFormat="1" x14ac:dyDescent="0.25">
      <c r="A29" s="53" t="s">
        <v>47</v>
      </c>
      <c r="B29" s="44" t="s">
        <v>133</v>
      </c>
      <c r="C29" s="45">
        <v>1.1000000000000001</v>
      </c>
      <c r="D29" s="45">
        <f t="shared" si="11"/>
        <v>1.7000000000000002</v>
      </c>
      <c r="E29" s="45">
        <f t="shared" si="12"/>
        <v>1.7000000000000002</v>
      </c>
      <c r="F29" s="45">
        <f t="shared" si="13"/>
        <v>1.7000000000000002</v>
      </c>
      <c r="G29" s="45">
        <f t="shared" si="14"/>
        <v>1.7000000000000002</v>
      </c>
      <c r="H29" s="45">
        <v>0.6</v>
      </c>
      <c r="I29" s="45">
        <f t="shared" si="9"/>
        <v>0.66</v>
      </c>
      <c r="J29" s="45">
        <v>3.1</v>
      </c>
      <c r="K29" s="46" t="s">
        <v>114</v>
      </c>
      <c r="L29" s="44">
        <f t="shared" si="0"/>
        <v>0.66</v>
      </c>
      <c r="M29" s="45">
        <f t="shared" si="10"/>
        <v>1.1000000000000001</v>
      </c>
      <c r="N29" s="45">
        <v>0</v>
      </c>
      <c r="O29" s="45">
        <v>0</v>
      </c>
      <c r="P29" s="45"/>
      <c r="Q29" s="48" t="s">
        <v>159</v>
      </c>
      <c r="R29" s="45"/>
      <c r="T29" s="44">
        <f>(6*1.2)*1.13</f>
        <v>8.1359999999999992</v>
      </c>
    </row>
    <row r="30" spans="1:20" s="13" customFormat="1" x14ac:dyDescent="0.25">
      <c r="A30" s="13" t="s">
        <v>47</v>
      </c>
      <c r="B30" s="13" t="s">
        <v>134</v>
      </c>
      <c r="C30" s="14">
        <v>1.9</v>
      </c>
      <c r="D30" s="14">
        <f t="shared" si="11"/>
        <v>2.5</v>
      </c>
      <c r="E30" s="14">
        <f t="shared" si="12"/>
        <v>20</v>
      </c>
      <c r="F30" s="14">
        <f t="shared" si="13"/>
        <v>2.5</v>
      </c>
      <c r="G30" s="14">
        <f t="shared" si="14"/>
        <v>20</v>
      </c>
      <c r="H30" s="14">
        <v>1</v>
      </c>
      <c r="I30" s="14">
        <f t="shared" si="9"/>
        <v>1.9</v>
      </c>
      <c r="J30" s="14">
        <v>1.1000000000000001</v>
      </c>
      <c r="K30" s="33" t="s">
        <v>135</v>
      </c>
      <c r="L30" s="13">
        <f t="shared" si="0"/>
        <v>15.2</v>
      </c>
      <c r="M30" s="1">
        <v>0</v>
      </c>
      <c r="N30" s="1">
        <v>0</v>
      </c>
      <c r="O30" s="1">
        <v>0</v>
      </c>
      <c r="P30" s="14"/>
      <c r="Q30" s="17" t="s">
        <v>160</v>
      </c>
      <c r="R30" s="14"/>
      <c r="T30" s="13">
        <f>2*18.6*1.1</f>
        <v>40.920000000000009</v>
      </c>
    </row>
    <row r="31" spans="1:20" s="13" customFormat="1" x14ac:dyDescent="0.25">
      <c r="A31" s="13" t="s">
        <v>47</v>
      </c>
      <c r="B31" s="13" t="s">
        <v>136</v>
      </c>
      <c r="C31" s="14">
        <v>2.2999999999999998</v>
      </c>
      <c r="D31" s="14">
        <f t="shared" si="11"/>
        <v>2.9</v>
      </c>
      <c r="E31" s="14">
        <f t="shared" si="12"/>
        <v>11.6</v>
      </c>
      <c r="F31" s="14">
        <f t="shared" si="13"/>
        <v>2.9</v>
      </c>
      <c r="G31" s="14">
        <f t="shared" si="14"/>
        <v>11.6</v>
      </c>
      <c r="H31" s="14">
        <v>1</v>
      </c>
      <c r="I31" s="14">
        <f t="shared" si="9"/>
        <v>2.2999999999999998</v>
      </c>
      <c r="J31" s="14">
        <v>1.1000000000000001</v>
      </c>
      <c r="K31" s="33" t="s">
        <v>130</v>
      </c>
      <c r="L31" s="13">
        <f t="shared" si="0"/>
        <v>9.1999999999999993</v>
      </c>
      <c r="M31" s="1">
        <v>0</v>
      </c>
      <c r="N31" s="1">
        <v>0</v>
      </c>
      <c r="O31" s="1">
        <v>0</v>
      </c>
      <c r="P31" s="14"/>
      <c r="Q31" s="17" t="s">
        <v>161</v>
      </c>
      <c r="R31" s="14"/>
      <c r="T31" s="13">
        <f>(2*12.35*1.1)+(2*0.6)+0.3+1.45+(11.85*1.1)</f>
        <v>43.155000000000001</v>
      </c>
    </row>
    <row r="32" spans="1:20" s="13" customFormat="1" x14ac:dyDescent="0.25">
      <c r="A32" s="13" t="s">
        <v>46</v>
      </c>
      <c r="B32" s="13" t="s">
        <v>136</v>
      </c>
      <c r="C32" s="14">
        <v>2.2999999999999998</v>
      </c>
      <c r="D32" s="14">
        <f t="shared" si="11"/>
        <v>2.9</v>
      </c>
      <c r="E32" s="14">
        <f t="shared" si="12"/>
        <v>2.9</v>
      </c>
      <c r="F32" s="14">
        <v>0</v>
      </c>
      <c r="G32" s="14">
        <f t="shared" si="14"/>
        <v>0</v>
      </c>
      <c r="H32" s="14">
        <v>1</v>
      </c>
      <c r="I32" s="14">
        <f t="shared" si="9"/>
        <v>2.2999999999999998</v>
      </c>
      <c r="J32" s="14">
        <v>1.1000000000000001</v>
      </c>
      <c r="K32" s="33" t="s">
        <v>114</v>
      </c>
      <c r="L32" s="13">
        <f t="shared" si="0"/>
        <v>2.2999999999999998</v>
      </c>
      <c r="M32" s="1">
        <v>0</v>
      </c>
      <c r="N32" s="1">
        <v>0</v>
      </c>
      <c r="O32" s="1">
        <v>0</v>
      </c>
      <c r="P32" s="14"/>
      <c r="Q32" s="17" t="s">
        <v>162</v>
      </c>
      <c r="R32" s="14"/>
      <c r="T32" s="13">
        <f>2*5.1*1.13</f>
        <v>11.525999999999998</v>
      </c>
    </row>
    <row r="33" spans="1:20" s="13" customFormat="1" x14ac:dyDescent="0.25">
      <c r="A33" s="13" t="s">
        <v>47</v>
      </c>
      <c r="B33" s="13" t="s">
        <v>137</v>
      </c>
      <c r="C33" s="14">
        <v>4.2</v>
      </c>
      <c r="D33" s="14">
        <f t="shared" si="11"/>
        <v>4.8</v>
      </c>
      <c r="E33" s="14">
        <f t="shared" si="12"/>
        <v>4.8</v>
      </c>
      <c r="F33" s="14">
        <v>0</v>
      </c>
      <c r="G33" s="14">
        <v>0</v>
      </c>
      <c r="H33" s="14">
        <v>1.9</v>
      </c>
      <c r="I33" s="14">
        <f t="shared" si="9"/>
        <v>7.9799999999999995</v>
      </c>
      <c r="J33" s="14">
        <v>0.3</v>
      </c>
      <c r="K33" s="33" t="s">
        <v>114</v>
      </c>
      <c r="L33" s="13">
        <f t="shared" si="0"/>
        <v>7.9799999999999995</v>
      </c>
      <c r="M33" s="1">
        <v>0</v>
      </c>
      <c r="N33" s="1">
        <v>0</v>
      </c>
      <c r="O33" s="1">
        <v>0</v>
      </c>
      <c r="P33" s="14"/>
      <c r="Q33" s="17" t="s">
        <v>163</v>
      </c>
      <c r="R33" s="14"/>
      <c r="T33" s="13">
        <f>(4*2.4*1.13)+(2*1.2)+2.5</f>
        <v>15.747999999999999</v>
      </c>
    </row>
    <row r="34" spans="1:20" s="13" customFormat="1" x14ac:dyDescent="0.25">
      <c r="A34" s="13" t="s">
        <v>46</v>
      </c>
      <c r="B34" s="13" t="s">
        <v>138</v>
      </c>
      <c r="C34" s="14">
        <v>3.9</v>
      </c>
      <c r="D34" s="14">
        <f t="shared" si="11"/>
        <v>4.5</v>
      </c>
      <c r="E34" s="14">
        <f t="shared" si="12"/>
        <v>4.5</v>
      </c>
      <c r="F34" s="14">
        <f t="shared" si="13"/>
        <v>4.5</v>
      </c>
      <c r="G34" s="14">
        <f t="shared" si="14"/>
        <v>4.5</v>
      </c>
      <c r="H34" s="14">
        <v>1</v>
      </c>
      <c r="I34" s="14">
        <f t="shared" si="9"/>
        <v>3.9</v>
      </c>
      <c r="J34" s="14">
        <v>1.1000000000000001</v>
      </c>
      <c r="K34" s="33" t="s">
        <v>114</v>
      </c>
      <c r="L34" s="13">
        <f t="shared" si="0"/>
        <v>3.9</v>
      </c>
      <c r="M34" s="1">
        <v>0</v>
      </c>
      <c r="N34" s="1">
        <v>0</v>
      </c>
      <c r="O34" s="1">
        <v>0</v>
      </c>
      <c r="P34" s="14"/>
      <c r="Q34" s="17" t="s">
        <v>1</v>
      </c>
      <c r="R34" s="14"/>
      <c r="T34" s="14">
        <f>SUM(T27:T33)</f>
        <v>238.91500000000002</v>
      </c>
    </row>
    <row r="35" spans="1:20" s="44" customFormat="1" x14ac:dyDescent="0.25">
      <c r="A35" s="44" t="s">
        <v>46</v>
      </c>
      <c r="B35" s="44" t="s">
        <v>139</v>
      </c>
      <c r="C35" s="45">
        <v>1.2</v>
      </c>
      <c r="D35" s="45">
        <f t="shared" si="11"/>
        <v>1.7999999999999998</v>
      </c>
      <c r="E35" s="45">
        <f t="shared" si="12"/>
        <v>1.7999999999999998</v>
      </c>
      <c r="F35" s="45">
        <f t="shared" si="13"/>
        <v>1.7999999999999998</v>
      </c>
      <c r="G35" s="45">
        <f t="shared" si="14"/>
        <v>1.7999999999999998</v>
      </c>
      <c r="H35" s="45">
        <v>0.5</v>
      </c>
      <c r="I35" s="45">
        <f t="shared" si="9"/>
        <v>0.6</v>
      </c>
      <c r="J35" s="45">
        <v>1.6</v>
      </c>
      <c r="K35" s="46" t="s">
        <v>114</v>
      </c>
      <c r="L35" s="44">
        <f t="shared" si="0"/>
        <v>0.6</v>
      </c>
      <c r="M35" s="45">
        <v>0</v>
      </c>
      <c r="N35" s="45">
        <v>0</v>
      </c>
      <c r="O35" s="45">
        <v>0</v>
      </c>
      <c r="P35" s="45"/>
      <c r="Q35" s="48"/>
      <c r="R35" s="45"/>
    </row>
    <row r="36" spans="1:20" x14ac:dyDescent="0.25">
      <c r="A36" s="13" t="s">
        <v>103</v>
      </c>
      <c r="B36" t="s">
        <v>140</v>
      </c>
      <c r="C36" s="1">
        <v>16.899999999999999</v>
      </c>
      <c r="D36" s="1">
        <v>0</v>
      </c>
      <c r="E36" s="14">
        <f t="shared" si="12"/>
        <v>0</v>
      </c>
      <c r="F36" s="1">
        <v>0</v>
      </c>
      <c r="G36" s="14">
        <f t="shared" si="14"/>
        <v>0</v>
      </c>
      <c r="H36" s="1">
        <v>0.7</v>
      </c>
      <c r="I36" s="1">
        <f t="shared" si="9"/>
        <v>11.829999999999998</v>
      </c>
      <c r="J36" s="1">
        <v>0</v>
      </c>
      <c r="K36" s="32" t="s">
        <v>114</v>
      </c>
      <c r="L36">
        <f t="shared" si="0"/>
        <v>11.829999999999998</v>
      </c>
      <c r="M36" s="1">
        <v>0</v>
      </c>
      <c r="N36" s="1">
        <v>0</v>
      </c>
      <c r="O36" s="1">
        <v>0</v>
      </c>
    </row>
    <row r="37" spans="1:20" x14ac:dyDescent="0.25">
      <c r="A37" s="13" t="s">
        <v>51</v>
      </c>
      <c r="B37" t="s">
        <v>141</v>
      </c>
      <c r="C37" s="1">
        <v>6.5</v>
      </c>
      <c r="D37" s="1">
        <v>0</v>
      </c>
      <c r="E37" s="14">
        <f t="shared" si="12"/>
        <v>0</v>
      </c>
      <c r="F37" s="1">
        <v>0</v>
      </c>
      <c r="G37" s="14">
        <f t="shared" si="14"/>
        <v>0</v>
      </c>
      <c r="H37" s="1">
        <v>1.8</v>
      </c>
      <c r="I37" s="1">
        <f t="shared" si="9"/>
        <v>11.700000000000001</v>
      </c>
      <c r="J37" s="1">
        <v>0</v>
      </c>
      <c r="K37" s="32" t="s">
        <v>114</v>
      </c>
      <c r="L37">
        <f t="shared" si="0"/>
        <v>11.700000000000001</v>
      </c>
      <c r="M37" s="1">
        <v>0</v>
      </c>
      <c r="N37" s="1">
        <v>0</v>
      </c>
      <c r="O37" s="1">
        <f>L37</f>
        <v>11.700000000000001</v>
      </c>
      <c r="Q37" s="37" t="s">
        <v>164</v>
      </c>
      <c r="R37" s="36"/>
      <c r="S37" s="35"/>
      <c r="T37" s="35"/>
    </row>
    <row r="38" spans="1:20" x14ac:dyDescent="0.25">
      <c r="A38" s="13" t="s">
        <v>51</v>
      </c>
      <c r="B38" t="s">
        <v>142</v>
      </c>
      <c r="C38" s="1">
        <v>1.6</v>
      </c>
      <c r="D38" s="1">
        <v>0</v>
      </c>
      <c r="E38" s="14">
        <f t="shared" si="12"/>
        <v>0</v>
      </c>
      <c r="F38" s="1">
        <v>0</v>
      </c>
      <c r="G38" s="14">
        <f t="shared" si="14"/>
        <v>0</v>
      </c>
      <c r="H38" s="1">
        <v>1.8</v>
      </c>
      <c r="I38" s="1">
        <f t="shared" si="9"/>
        <v>2.8800000000000003</v>
      </c>
      <c r="J38" s="1">
        <v>0</v>
      </c>
      <c r="K38" s="32" t="s">
        <v>114</v>
      </c>
      <c r="L38">
        <f t="shared" si="0"/>
        <v>2.8800000000000003</v>
      </c>
      <c r="M38" s="1">
        <v>0</v>
      </c>
      <c r="N38" s="1">
        <v>0</v>
      </c>
      <c r="O38" s="1">
        <f t="shared" ref="O38:O40" si="15">L38</f>
        <v>2.8800000000000003</v>
      </c>
      <c r="Q38" s="30" t="s">
        <v>148</v>
      </c>
      <c r="R38" s="29"/>
      <c r="S38" s="29"/>
      <c r="T38" s="29" t="s">
        <v>158</v>
      </c>
    </row>
    <row r="39" spans="1:20" s="13" customFormat="1" x14ac:dyDescent="0.25">
      <c r="A39" s="13" t="s">
        <v>51</v>
      </c>
      <c r="B39" s="13" t="s">
        <v>143</v>
      </c>
      <c r="C39" s="14">
        <v>1</v>
      </c>
      <c r="D39" s="14">
        <v>0</v>
      </c>
      <c r="E39" s="14">
        <f t="shared" si="12"/>
        <v>0</v>
      </c>
      <c r="F39" s="14">
        <v>0</v>
      </c>
      <c r="G39" s="14">
        <f t="shared" si="14"/>
        <v>0</v>
      </c>
      <c r="H39" s="14">
        <v>1.6</v>
      </c>
      <c r="I39" s="14">
        <f t="shared" si="9"/>
        <v>1.6</v>
      </c>
      <c r="J39" s="14">
        <v>0</v>
      </c>
      <c r="K39" s="33" t="s">
        <v>114</v>
      </c>
      <c r="L39" s="13">
        <f t="shared" si="0"/>
        <v>1.6</v>
      </c>
      <c r="M39" s="14">
        <v>0</v>
      </c>
      <c r="N39" s="14">
        <v>0</v>
      </c>
      <c r="O39" s="14">
        <f t="shared" si="15"/>
        <v>1.6</v>
      </c>
      <c r="P39" s="14"/>
      <c r="Q39" s="13" t="s">
        <v>156</v>
      </c>
      <c r="T39" s="14">
        <f>((1.5+11.2+1.6+11.2)*1.1)+1.5+0.3+7.5+4.1</f>
        <v>41.45</v>
      </c>
    </row>
    <row r="40" spans="1:20" x14ac:dyDescent="0.25">
      <c r="A40" s="13" t="s">
        <v>51</v>
      </c>
      <c r="B40" t="s">
        <v>144</v>
      </c>
      <c r="C40" s="1">
        <v>3.5</v>
      </c>
      <c r="D40" s="1">
        <v>0</v>
      </c>
      <c r="E40" s="14">
        <f t="shared" si="12"/>
        <v>0</v>
      </c>
      <c r="F40" s="1">
        <v>0</v>
      </c>
      <c r="G40" s="14">
        <f t="shared" si="14"/>
        <v>0</v>
      </c>
      <c r="H40" s="1">
        <v>1.8</v>
      </c>
      <c r="I40" s="1">
        <f t="shared" si="9"/>
        <v>6.3</v>
      </c>
      <c r="J40" s="1">
        <v>0</v>
      </c>
      <c r="K40" s="32" t="s">
        <v>114</v>
      </c>
      <c r="L40">
        <f t="shared" si="0"/>
        <v>6.3</v>
      </c>
      <c r="M40" s="1">
        <v>0</v>
      </c>
      <c r="N40" s="1">
        <v>0</v>
      </c>
      <c r="O40" s="1">
        <f t="shared" si="15"/>
        <v>6.3</v>
      </c>
      <c r="Q40" s="17" t="s">
        <v>157</v>
      </c>
      <c r="R40" s="13"/>
      <c r="S40" s="13"/>
      <c r="T40" s="14">
        <f>((3.85+0.9)*1.13)+1.1</f>
        <v>6.4674999999999994</v>
      </c>
    </row>
    <row r="41" spans="1:20" x14ac:dyDescent="0.25">
      <c r="A41" s="13" t="s">
        <v>51</v>
      </c>
      <c r="B41" t="s">
        <v>145</v>
      </c>
      <c r="C41" s="1">
        <v>27.1</v>
      </c>
      <c r="D41" s="1">
        <v>0</v>
      </c>
      <c r="E41" s="14">
        <f t="shared" si="12"/>
        <v>0</v>
      </c>
      <c r="F41" s="1">
        <v>0</v>
      </c>
      <c r="G41" s="14">
        <f t="shared" si="14"/>
        <v>0</v>
      </c>
      <c r="H41" s="1">
        <v>2</v>
      </c>
      <c r="I41" s="1">
        <f t="shared" si="9"/>
        <v>54.2</v>
      </c>
      <c r="J41" s="1">
        <v>0</v>
      </c>
      <c r="K41" s="32" t="s">
        <v>114</v>
      </c>
      <c r="L41">
        <f t="shared" si="0"/>
        <v>54.2</v>
      </c>
      <c r="M41" s="1">
        <v>0</v>
      </c>
      <c r="N41" s="1">
        <v>0</v>
      </c>
      <c r="O41" s="1">
        <v>0</v>
      </c>
      <c r="Q41" s="17" t="s">
        <v>1</v>
      </c>
      <c r="R41" s="14"/>
      <c r="S41" s="13"/>
      <c r="T41" s="14">
        <f>SUM(T39:T40)</f>
        <v>47.917500000000004</v>
      </c>
    </row>
    <row r="42" spans="1:20" s="4" customFormat="1" x14ac:dyDescent="0.25">
      <c r="C42" s="5"/>
      <c r="D42" s="5">
        <f>SUM(D4:D41)</f>
        <v>60.2</v>
      </c>
      <c r="E42" s="5">
        <f>SUM(E4:E41)</f>
        <v>141.6</v>
      </c>
      <c r="F42" s="5">
        <f>SUM(F4:F41)</f>
        <v>28.9</v>
      </c>
      <c r="G42" s="5">
        <f>SUM(G4:G41)</f>
        <v>78</v>
      </c>
      <c r="H42" s="5"/>
      <c r="I42" s="5"/>
      <c r="J42" s="5"/>
      <c r="K42" s="41"/>
      <c r="M42" s="5">
        <f>SUM(M4:M41)</f>
        <v>19.900000000000002</v>
      </c>
      <c r="N42" s="5">
        <f>SUM(N4:N41)</f>
        <v>63.84</v>
      </c>
      <c r="O42" s="5">
        <f>SUM(O4:O41)</f>
        <v>22.480000000000004</v>
      </c>
      <c r="P42" s="5"/>
      <c r="Q42" s="9"/>
      <c r="R42" s="5"/>
    </row>
    <row r="43" spans="1:20" x14ac:dyDescent="0.25">
      <c r="A43" s="13"/>
      <c r="Q43" s="17"/>
      <c r="R43" s="14"/>
      <c r="S43" s="13"/>
      <c r="T43" s="13"/>
    </row>
    <row r="44" spans="1:20" x14ac:dyDescent="0.25">
      <c r="A44" s="13"/>
      <c r="Q44" s="17"/>
      <c r="R44" s="14"/>
      <c r="S44" s="13"/>
      <c r="T44" s="13"/>
    </row>
    <row r="45" spans="1:20" x14ac:dyDescent="0.25">
      <c r="A45" s="13"/>
    </row>
    <row r="46" spans="1:20" x14ac:dyDescent="0.25">
      <c r="A46" s="13"/>
    </row>
    <row r="47" spans="1:20" x14ac:dyDescent="0.25">
      <c r="A47" s="13"/>
    </row>
    <row r="48" spans="1:20" x14ac:dyDescent="0.25">
      <c r="A48" s="13"/>
    </row>
    <row r="49" spans="1:1" x14ac:dyDescent="0.25">
      <c r="A49" s="13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  <row r="60" spans="1:1" x14ac:dyDescent="0.25">
      <c r="A60" s="13"/>
    </row>
    <row r="121" spans="1:1" x14ac:dyDescent="0.25">
      <c r="A121" s="4"/>
    </row>
    <row r="123" spans="1:1" x14ac:dyDescent="0.25">
      <c r="A123" s="2"/>
    </row>
    <row r="124" spans="1:1" x14ac:dyDescent="0.25">
      <c r="A124" t="s">
        <v>46</v>
      </c>
    </row>
    <row r="125" spans="1:1" x14ac:dyDescent="0.25">
      <c r="A125" t="s">
        <v>46</v>
      </c>
    </row>
    <row r="126" spans="1:1" x14ac:dyDescent="0.25">
      <c r="A126" t="s">
        <v>46</v>
      </c>
    </row>
    <row r="127" spans="1:1" x14ac:dyDescent="0.25">
      <c r="A127" t="s">
        <v>46</v>
      </c>
    </row>
  </sheetData>
  <phoneticPr fontId="26" type="noConversion"/>
  <conditionalFormatting sqref="A15:A22 A28:A61">
    <cfRule type="containsText" dxfId="7" priority="8" operator="containsText" text="NÃO">
      <formula>NOT(ISERROR(SEARCH("NÃO",A15)))</formula>
    </cfRule>
  </conditionalFormatting>
  <conditionalFormatting sqref="A4:A14">
    <cfRule type="containsText" dxfId="6" priority="7" operator="containsText" text="NÃO">
      <formula>NOT(ISERROR(SEARCH("NÃO",A4)))</formula>
    </cfRule>
  </conditionalFormatting>
  <conditionalFormatting sqref="A23:A27">
    <cfRule type="containsText" dxfId="5" priority="6" operator="containsText" text="NÃO">
      <formula>NOT(ISERROR(SEARCH("NÃO",A23)))</formula>
    </cfRule>
  </conditionalFormatting>
  <conditionalFormatting sqref="Q4:Q5">
    <cfRule type="containsText" dxfId="4" priority="5" operator="containsText" text="NÃO">
      <formula>NOT(ISERROR(SEARCH("NÃO",Q4)))</formula>
    </cfRule>
  </conditionalFormatting>
  <conditionalFormatting sqref="Q12:Q15">
    <cfRule type="containsText" dxfId="3" priority="4" operator="containsText" text="NÃO">
      <formula>NOT(ISERROR(SEARCH("NÃO",Q12)))</formula>
    </cfRule>
  </conditionalFormatting>
  <conditionalFormatting sqref="Q22:Q24">
    <cfRule type="containsText" dxfId="2" priority="3" operator="containsText" text="NÃO">
      <formula>NOT(ISERROR(SEARCH("NÃO",Q22)))</formula>
    </cfRule>
  </conditionalFormatting>
  <conditionalFormatting sqref="Q27">
    <cfRule type="containsText" dxfId="1" priority="2" operator="containsText" text="NÃO">
      <formula>NOT(ISERROR(SEARCH("NÃO",Q27)))</formula>
    </cfRule>
  </conditionalFormatting>
  <conditionalFormatting sqref="Q39">
    <cfRule type="containsText" dxfId="0" priority="1" operator="containsText" text="NÃO">
      <formula>NOT(ISERROR(SEARCH("NÃO",Q39)))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626A-8A38-4624-B5FB-C1A2DADF970C}">
  <dimension ref="A2:G33"/>
  <sheetViews>
    <sheetView tabSelected="1" workbookViewId="0">
      <selection activeCell="D26" sqref="D26:D27"/>
    </sheetView>
  </sheetViews>
  <sheetFormatPr defaultRowHeight="15" x14ac:dyDescent="0.25"/>
  <cols>
    <col min="1" max="1" width="20.140625" bestFit="1" customWidth="1"/>
    <col min="2" max="2" width="63.140625" bestFit="1" customWidth="1"/>
  </cols>
  <sheetData>
    <row r="2" spans="1:7" x14ac:dyDescent="0.25">
      <c r="A2" s="2" t="s">
        <v>89</v>
      </c>
      <c r="B2" s="2" t="s">
        <v>90</v>
      </c>
      <c r="C2" s="2" t="s">
        <v>91</v>
      </c>
      <c r="D2" s="3" t="s">
        <v>0</v>
      </c>
      <c r="E2" s="10"/>
      <c r="F2" s="11"/>
      <c r="G2" s="10"/>
    </row>
    <row r="3" spans="1:7" x14ac:dyDescent="0.25">
      <c r="A3" t="s">
        <v>92</v>
      </c>
      <c r="B3" t="s">
        <v>95</v>
      </c>
      <c r="C3" s="31" t="s">
        <v>94</v>
      </c>
      <c r="D3" s="1">
        <f>67.4+30.3+6.95+6.95+2.5+22.8+24.2</f>
        <v>161.1</v>
      </c>
      <c r="E3" s="1"/>
      <c r="F3" s="8"/>
      <c r="G3" s="1"/>
    </row>
    <row r="4" spans="1:7" x14ac:dyDescent="0.25">
      <c r="A4" t="s">
        <v>93</v>
      </c>
      <c r="B4" t="s">
        <v>96</v>
      </c>
      <c r="C4" s="31" t="s">
        <v>94</v>
      </c>
      <c r="D4" s="1">
        <f>96+16.9+16.9+16.9+14.9+(11*22.6)</f>
        <v>410.20000000000005</v>
      </c>
      <c r="E4" s="1"/>
      <c r="F4" s="8"/>
      <c r="G4" s="1"/>
    </row>
    <row r="5" spans="1:7" x14ac:dyDescent="0.25">
      <c r="A5" t="s">
        <v>51</v>
      </c>
      <c r="B5" t="s">
        <v>97</v>
      </c>
      <c r="C5" s="31" t="s">
        <v>94</v>
      </c>
      <c r="D5" s="1">
        <f>23+3+14.2</f>
        <v>40.200000000000003</v>
      </c>
      <c r="E5" s="1"/>
      <c r="F5" s="8"/>
      <c r="G5" s="1"/>
    </row>
    <row r="6" spans="1:7" x14ac:dyDescent="0.25">
      <c r="A6" t="s">
        <v>1</v>
      </c>
      <c r="C6" s="31" t="s">
        <v>94</v>
      </c>
      <c r="D6" s="1">
        <f>SUM(D3:D5)</f>
        <v>611.50000000000011</v>
      </c>
    </row>
    <row r="8" spans="1:7" x14ac:dyDescent="0.25">
      <c r="A8" s="2" t="s">
        <v>89</v>
      </c>
      <c r="B8" s="2" t="s">
        <v>98</v>
      </c>
      <c r="C8" s="2" t="s">
        <v>91</v>
      </c>
      <c r="D8" s="3" t="s">
        <v>0</v>
      </c>
    </row>
    <row r="9" spans="1:7" x14ac:dyDescent="0.25">
      <c r="A9" t="s">
        <v>92</v>
      </c>
      <c r="B9" t="s">
        <v>208</v>
      </c>
      <c r="C9" s="31" t="s">
        <v>94</v>
      </c>
      <c r="D9" s="1">
        <f>(6*6.57)+(4*6.57)+(5.17)+(3*(6.4+4))</f>
        <v>102.07000000000001</v>
      </c>
    </row>
    <row r="10" spans="1:7" x14ac:dyDescent="0.25">
      <c r="A10" t="s">
        <v>93</v>
      </c>
      <c r="B10" t="s">
        <v>208</v>
      </c>
      <c r="C10" s="31" t="s">
        <v>94</v>
      </c>
      <c r="D10" s="1">
        <f>(2*5.02)+(6*5.9)+(2*6.63)+(5*16.9)</f>
        <v>143.19999999999999</v>
      </c>
    </row>
    <row r="11" spans="1:7" x14ac:dyDescent="0.25">
      <c r="A11" t="s">
        <v>1</v>
      </c>
      <c r="C11" s="31" t="s">
        <v>94</v>
      </c>
      <c r="D11" s="1">
        <f>SUM(D9:D10)</f>
        <v>245.26999999999998</v>
      </c>
    </row>
    <row r="13" spans="1:7" x14ac:dyDescent="0.25">
      <c r="A13" s="2" t="s">
        <v>89</v>
      </c>
      <c r="B13" s="2" t="s">
        <v>99</v>
      </c>
      <c r="C13" s="2" t="s">
        <v>91</v>
      </c>
      <c r="D13" s="3" t="s">
        <v>0</v>
      </c>
    </row>
    <row r="14" spans="1:7" x14ac:dyDescent="0.25">
      <c r="A14" t="s">
        <v>92</v>
      </c>
      <c r="B14" t="s">
        <v>209</v>
      </c>
      <c r="C14" s="31" t="s">
        <v>94</v>
      </c>
      <c r="D14" s="1">
        <f>13.3+(2*(6.4+4))</f>
        <v>34.1</v>
      </c>
    </row>
    <row r="15" spans="1:7" x14ac:dyDescent="0.25">
      <c r="A15" t="s">
        <v>93</v>
      </c>
      <c r="B15" t="s">
        <v>209</v>
      </c>
      <c r="C15" s="31" t="s">
        <v>94</v>
      </c>
      <c r="D15" s="1">
        <f>(4*16.9)+24.5</f>
        <v>92.1</v>
      </c>
    </row>
    <row r="16" spans="1:7" x14ac:dyDescent="0.25">
      <c r="A16" t="s">
        <v>1</v>
      </c>
      <c r="C16" s="31" t="s">
        <v>94</v>
      </c>
      <c r="D16" s="1">
        <f>SUM(D14:D15)</f>
        <v>126.19999999999999</v>
      </c>
    </row>
    <row r="18" spans="1:4" x14ac:dyDescent="0.25">
      <c r="A18" s="2" t="s">
        <v>89</v>
      </c>
      <c r="B18" s="2" t="s">
        <v>100</v>
      </c>
      <c r="C18" s="2" t="s">
        <v>91</v>
      </c>
      <c r="D18" s="3" t="s">
        <v>0</v>
      </c>
    </row>
    <row r="19" spans="1:4" x14ac:dyDescent="0.25">
      <c r="A19" t="s">
        <v>92</v>
      </c>
      <c r="C19" s="31"/>
      <c r="D19" s="1">
        <v>0</v>
      </c>
    </row>
    <row r="20" spans="1:4" x14ac:dyDescent="0.25">
      <c r="A20" t="s">
        <v>93</v>
      </c>
      <c r="C20" s="31"/>
      <c r="D20" s="1">
        <v>0</v>
      </c>
    </row>
    <row r="21" spans="1:4" x14ac:dyDescent="0.25">
      <c r="A21" t="s">
        <v>1</v>
      </c>
      <c r="D21" s="1">
        <f>SUM(D19:D20)</f>
        <v>0</v>
      </c>
    </row>
    <row r="23" spans="1:4" x14ac:dyDescent="0.25">
      <c r="A23" s="2" t="s">
        <v>89</v>
      </c>
      <c r="B23" s="2" t="s">
        <v>101</v>
      </c>
      <c r="C23" s="2" t="s">
        <v>91</v>
      </c>
      <c r="D23" s="3" t="s">
        <v>0</v>
      </c>
    </row>
    <row r="24" spans="1:4" x14ac:dyDescent="0.25">
      <c r="A24" t="s">
        <v>92</v>
      </c>
      <c r="B24" t="s">
        <v>211</v>
      </c>
      <c r="C24" s="31" t="s">
        <v>102</v>
      </c>
      <c r="D24" s="1">
        <f>(6.57*13.3)+(2*(6.57*(6.4+4)))</f>
        <v>224.03700000000003</v>
      </c>
    </row>
    <row r="25" spans="1:4" x14ac:dyDescent="0.25">
      <c r="A25" t="s">
        <v>92</v>
      </c>
      <c r="B25" t="s">
        <v>213</v>
      </c>
      <c r="C25" s="31" t="s">
        <v>102</v>
      </c>
      <c r="D25" s="1">
        <f>(6.4+4)*0.75</f>
        <v>7.8000000000000007</v>
      </c>
    </row>
    <row r="26" spans="1:4" x14ac:dyDescent="0.25">
      <c r="A26" t="s">
        <v>93</v>
      </c>
      <c r="B26" t="s">
        <v>211</v>
      </c>
      <c r="C26" s="31" t="s">
        <v>102</v>
      </c>
      <c r="D26" s="1">
        <f>(5.02*16.9)+(3*5.9*16.9)+(6.63*(4.8+4.8))+(2.82*7.3)</f>
        <v>468.202</v>
      </c>
    </row>
    <row r="27" spans="1:4" x14ac:dyDescent="0.25">
      <c r="A27" t="s">
        <v>93</v>
      </c>
      <c r="B27" t="s">
        <v>213</v>
      </c>
      <c r="C27" s="31" t="s">
        <v>102</v>
      </c>
      <c r="D27" s="1">
        <f>0.75*16.9*2</f>
        <v>25.349999999999998</v>
      </c>
    </row>
    <row r="28" spans="1:4" x14ac:dyDescent="0.25">
      <c r="A28" t="s">
        <v>1</v>
      </c>
      <c r="C28" s="31" t="s">
        <v>102</v>
      </c>
      <c r="D28" s="1">
        <f>SUM(D24:D27)</f>
        <v>725.38900000000001</v>
      </c>
    </row>
    <row r="30" spans="1:4" x14ac:dyDescent="0.25">
      <c r="A30" s="2" t="s">
        <v>89</v>
      </c>
      <c r="B30" s="2" t="s">
        <v>210</v>
      </c>
      <c r="C30" s="2" t="s">
        <v>91</v>
      </c>
      <c r="D30" s="3" t="s">
        <v>0</v>
      </c>
    </row>
    <row r="31" spans="1:4" x14ac:dyDescent="0.25">
      <c r="A31" t="s">
        <v>92</v>
      </c>
      <c r="B31" t="s">
        <v>212</v>
      </c>
      <c r="C31" s="31" t="s">
        <v>102</v>
      </c>
      <c r="D31" s="1">
        <f>17.12+12.92+3.75+21</f>
        <v>54.79</v>
      </c>
    </row>
    <row r="32" spans="1:4" x14ac:dyDescent="0.25">
      <c r="A32" t="s">
        <v>93</v>
      </c>
      <c r="B32" t="s">
        <v>212</v>
      </c>
      <c r="C32" s="31" t="s">
        <v>102</v>
      </c>
      <c r="D32" s="1">
        <v>24.5</v>
      </c>
    </row>
    <row r="33" spans="1:4" x14ac:dyDescent="0.25">
      <c r="A33" t="s">
        <v>1</v>
      </c>
      <c r="C33" s="31" t="s">
        <v>102</v>
      </c>
      <c r="D33" s="1">
        <f>SUM(D31:D32)</f>
        <v>79.289999999999992</v>
      </c>
    </row>
  </sheetData>
  <phoneticPr fontId="26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QUANTITATIVO PAREDES</vt:lpstr>
      <vt:lpstr>QUANTITATIVO C.E.R</vt:lpstr>
      <vt:lpstr>QUANTITATIVO PISO</vt:lpstr>
      <vt:lpstr>QUANTITATIVO TETO</vt:lpstr>
      <vt:lpstr>QUANTITATIVO ESQUADRIAS </vt:lpstr>
      <vt:lpstr>QUANTITATIVO COBERTURA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Win_10</dc:creator>
  <cp:lastModifiedBy>Win_10</cp:lastModifiedBy>
  <dcterms:created xsi:type="dcterms:W3CDTF">2022-07-25T21:25:20Z</dcterms:created>
  <dcterms:modified xsi:type="dcterms:W3CDTF">2022-10-17T12:41:01Z</dcterms:modified>
</cp:coreProperties>
</file>